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Notes" sheetId="1" r:id="rId1"/>
    <sheet name="Tearsheet" sheetId="2" r:id="rId2"/>
    <sheet name="DCF" sheetId="3" r:id="rId3"/>
    <sheet name="Assumptions" sheetId="4" r:id="rId4"/>
    <sheet name="Multiples &amp; Operating Stats" sheetId="6" r:id="rId5"/>
    <sheet name="WACC" sheetId="5" r:id="rId6"/>
  </sheets>
  <definedNames>
    <definedName name="cash">Assumptions!$L$10</definedName>
    <definedName name="debt">Assumptions!$L$7</definedName>
    <definedName name="FYE">Assumptions!$F$7</definedName>
    <definedName name="high">Assumptions!$L$11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40168.7040740741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low">Assumptions!$L$12</definedName>
    <definedName name="mininterest">Assumptions!$L$9</definedName>
    <definedName name="multiple">Assumptions!$F$12</definedName>
    <definedName name="Name">Assumptions!$F$5</definedName>
    <definedName name="prefstock">Assumptions!$L$8</definedName>
    <definedName name="_xlnm.Print_Area" localSheetId="3">Assumptions!$A$1:$Q$51</definedName>
    <definedName name="_xlnm.Print_Area" localSheetId="2">DCF!$A$1:$AF$44</definedName>
    <definedName name="_xlnm.Print_Area" localSheetId="5">WACC!$A$1:$G$14</definedName>
    <definedName name="rate">Assumptions!$F$11</definedName>
    <definedName name="shareprice">Assumptions!$L$5</definedName>
    <definedName name="sharesout">Assumptions!$L$6</definedName>
    <definedName name="Subheader">Assumptions!$F$6</definedName>
    <definedName name="target">Assumptions!$L$13</definedName>
    <definedName name="tax">Assumptions!$F$8</definedName>
    <definedName name="termgrowth">Assumptions!$F$10</definedName>
    <definedName name="valdate">Assumptions!$F$9</definedName>
    <definedName name="yield">Assumptions!$F$13</definedName>
  </definedNames>
  <calcPr calcId="145621" iterateDelta="9.9999999999994451E-4"/>
</workbook>
</file>

<file path=xl/calcChain.xml><?xml version="1.0" encoding="utf-8"?>
<calcChain xmlns="http://schemas.openxmlformats.org/spreadsheetml/2006/main">
  <c r="A1" i="6" l="1"/>
  <c r="G63" i="6" l="1"/>
  <c r="G61" i="6"/>
  <c r="F61" i="6"/>
  <c r="E61" i="6"/>
  <c r="H59" i="6"/>
  <c r="G59" i="6"/>
  <c r="F59" i="6"/>
  <c r="E59" i="6"/>
  <c r="J50" i="6"/>
  <c r="A52" i="6"/>
  <c r="J61" i="6" l="1"/>
  <c r="I61" i="6"/>
  <c r="H61" i="6"/>
  <c r="H58" i="6"/>
  <c r="G58" i="6"/>
  <c r="F58" i="6"/>
  <c r="E58" i="6"/>
  <c r="H57" i="6"/>
  <c r="G57" i="6"/>
  <c r="F57" i="6"/>
  <c r="E57" i="6"/>
  <c r="H56" i="6"/>
  <c r="G56" i="6"/>
  <c r="F56" i="6"/>
  <c r="E56" i="6"/>
  <c r="H55" i="6"/>
  <c r="G55" i="6"/>
  <c r="F55" i="6"/>
  <c r="E55" i="6"/>
  <c r="K41" i="6"/>
  <c r="J41" i="6"/>
  <c r="I41" i="6"/>
  <c r="H41" i="6"/>
  <c r="G41" i="6"/>
  <c r="F41" i="6"/>
  <c r="E41" i="6"/>
  <c r="D41" i="6"/>
  <c r="C41" i="6"/>
  <c r="K40" i="6"/>
  <c r="J40" i="6"/>
  <c r="I40" i="6"/>
  <c r="H40" i="6"/>
  <c r="G40" i="6"/>
  <c r="F40" i="6"/>
  <c r="E40" i="6"/>
  <c r="D40" i="6"/>
  <c r="C40" i="6"/>
  <c r="K39" i="6"/>
  <c r="J39" i="6"/>
  <c r="I39" i="6"/>
  <c r="H39" i="6"/>
  <c r="G39" i="6"/>
  <c r="F39" i="6"/>
  <c r="E39" i="6"/>
  <c r="D39" i="6"/>
  <c r="C39" i="6"/>
  <c r="K38" i="6"/>
  <c r="J38" i="6"/>
  <c r="I38" i="6"/>
  <c r="H38" i="6"/>
  <c r="G38" i="6"/>
  <c r="F38" i="6"/>
  <c r="E38" i="6"/>
  <c r="D38" i="6"/>
  <c r="C38" i="6"/>
  <c r="A36" i="6"/>
  <c r="A34" i="6"/>
  <c r="A33" i="6"/>
  <c r="A32" i="6"/>
  <c r="A31" i="6"/>
  <c r="A30" i="6"/>
  <c r="A29" i="6"/>
  <c r="A28" i="6"/>
  <c r="J22" i="6"/>
  <c r="I22" i="6"/>
  <c r="H22" i="6"/>
  <c r="G22" i="6"/>
  <c r="F22" i="6"/>
  <c r="E22" i="6"/>
  <c r="D22" i="6"/>
  <c r="C22" i="6"/>
  <c r="J21" i="6"/>
  <c r="I21" i="6"/>
  <c r="I50" i="6" s="1"/>
  <c r="H21" i="6"/>
  <c r="H50" i="6" s="1"/>
  <c r="H54" i="6" s="1"/>
  <c r="H63" i="6" s="1"/>
  <c r="G21" i="6"/>
  <c r="G50" i="6" s="1"/>
  <c r="G54" i="6" s="1"/>
  <c r="F21" i="6"/>
  <c r="F50" i="6" s="1"/>
  <c r="E21" i="6"/>
  <c r="E50" i="6" s="1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K17" i="6"/>
  <c r="K15" i="6"/>
  <c r="K14" i="6"/>
  <c r="K13" i="6"/>
  <c r="K12" i="6"/>
  <c r="K11" i="6"/>
  <c r="K10" i="6"/>
  <c r="K20" i="6" s="1"/>
  <c r="K9" i="6"/>
  <c r="K22" i="6" s="1"/>
  <c r="A2" i="6"/>
  <c r="F54" i="6" l="1"/>
  <c r="F63" i="6" s="1"/>
  <c r="J54" i="6"/>
  <c r="J59" i="6" s="1"/>
  <c r="J63" i="6" s="1"/>
  <c r="E54" i="6"/>
  <c r="E63" i="6" s="1"/>
  <c r="I54" i="6"/>
  <c r="I59" i="6" s="1"/>
  <c r="I63" i="6" s="1"/>
  <c r="K21" i="6"/>
  <c r="K19" i="6"/>
  <c r="M40" i="3" l="1"/>
  <c r="L40" i="3"/>
  <c r="K40" i="3"/>
  <c r="J40" i="3"/>
  <c r="I40" i="3"/>
  <c r="H40" i="3"/>
  <c r="G40" i="3"/>
  <c r="F40" i="3"/>
  <c r="I45" i="4" l="1"/>
  <c r="J45" i="4" s="1"/>
  <c r="K45" i="4" s="1"/>
  <c r="L45" i="4" s="1"/>
  <c r="M45" i="4" s="1"/>
  <c r="J43" i="4"/>
  <c r="K43" i="4" s="1"/>
  <c r="L43" i="4" s="1"/>
  <c r="M43" i="4" s="1"/>
  <c r="I43" i="4"/>
  <c r="L9" i="4"/>
  <c r="K13" i="2" l="1"/>
  <c r="J13" i="2"/>
  <c r="I13" i="2"/>
  <c r="H13" i="2"/>
  <c r="K11" i="2"/>
  <c r="J11" i="2"/>
  <c r="I11" i="2"/>
  <c r="H11" i="2"/>
  <c r="K9" i="2"/>
  <c r="J9" i="2"/>
  <c r="I9" i="2"/>
  <c r="H9" i="2"/>
  <c r="K7" i="2"/>
  <c r="J7" i="2"/>
  <c r="I7" i="2"/>
  <c r="H7" i="2"/>
  <c r="K5" i="2"/>
  <c r="J5" i="2"/>
  <c r="I5" i="2"/>
  <c r="H5" i="2"/>
  <c r="K3" i="2"/>
  <c r="J3" i="2"/>
  <c r="I3" i="2"/>
  <c r="H3" i="2"/>
  <c r="E16" i="2"/>
  <c r="E14" i="2"/>
  <c r="E13" i="2"/>
  <c r="S43" i="3" l="1"/>
  <c r="S42" i="3"/>
  <c r="S41" i="3"/>
  <c r="S40" i="3"/>
  <c r="S39" i="3"/>
  <c r="S20" i="3"/>
  <c r="S19" i="3"/>
  <c r="S18" i="3"/>
  <c r="S17" i="3"/>
  <c r="S16" i="3"/>
  <c r="C8" i="5" l="1"/>
  <c r="G6" i="5"/>
  <c r="B1" i="5"/>
  <c r="H50" i="4"/>
  <c r="H39" i="3" s="1"/>
  <c r="G50" i="4"/>
  <c r="F50" i="4"/>
  <c r="B50" i="4"/>
  <c r="H49" i="4"/>
  <c r="G49" i="4"/>
  <c r="F49" i="4"/>
  <c r="H48" i="4"/>
  <c r="G48" i="4"/>
  <c r="F48" i="4"/>
  <c r="H47" i="4"/>
  <c r="G47" i="4"/>
  <c r="F47" i="4"/>
  <c r="H45" i="4"/>
  <c r="G45" i="4"/>
  <c r="G33" i="3" s="1"/>
  <c r="F45" i="4"/>
  <c r="F33" i="3" s="1"/>
  <c r="H44" i="4"/>
  <c r="G44" i="4"/>
  <c r="G32" i="3" s="1"/>
  <c r="F44" i="4"/>
  <c r="F32" i="3" s="1"/>
  <c r="H42" i="4"/>
  <c r="G42" i="4"/>
  <c r="H33" i="4"/>
  <c r="H10" i="3" s="1"/>
  <c r="G33" i="4"/>
  <c r="G10" i="3" s="1"/>
  <c r="F33" i="4"/>
  <c r="F10" i="3" s="1"/>
  <c r="H27" i="4"/>
  <c r="G27" i="4"/>
  <c r="F27" i="4"/>
  <c r="H22" i="4"/>
  <c r="H23" i="4" s="1"/>
  <c r="G22" i="4"/>
  <c r="G43" i="4" s="1"/>
  <c r="G31" i="3" s="1"/>
  <c r="F22" i="4"/>
  <c r="H19" i="4"/>
  <c r="G19" i="4"/>
  <c r="I18" i="4"/>
  <c r="I6" i="3" s="1"/>
  <c r="H16" i="4"/>
  <c r="H5" i="3" s="1"/>
  <c r="I15" i="4"/>
  <c r="I4" i="3" s="1"/>
  <c r="F15" i="4"/>
  <c r="F4" i="3" s="1"/>
  <c r="A2" i="4"/>
  <c r="A1" i="4"/>
  <c r="Q41" i="3"/>
  <c r="Q42" i="3" s="1"/>
  <c r="Q43" i="3" s="1"/>
  <c r="G39" i="3"/>
  <c r="F39" i="3"/>
  <c r="AD38" i="3"/>
  <c r="AE38" i="3" s="1"/>
  <c r="Z38" i="3"/>
  <c r="Y38" i="3" s="1"/>
  <c r="V38" i="3"/>
  <c r="Q32" i="3"/>
  <c r="Q33" i="3" s="1"/>
  <c r="Q34" i="3" s="1"/>
  <c r="AD29" i="3"/>
  <c r="AC29" i="3" s="1"/>
  <c r="Z29" i="3"/>
  <c r="Y29" i="3" s="1"/>
  <c r="V29" i="3"/>
  <c r="W29" i="3" s="1"/>
  <c r="J24" i="3"/>
  <c r="K24" i="3" s="1"/>
  <c r="L24" i="3" s="1"/>
  <c r="M24" i="3" s="1"/>
  <c r="I24" i="3"/>
  <c r="I22" i="3"/>
  <c r="Q18" i="3"/>
  <c r="Q19" i="3" s="1"/>
  <c r="Q20" i="3" s="1"/>
  <c r="AD15" i="3"/>
  <c r="AE15" i="3" s="1"/>
  <c r="Z15" i="3"/>
  <c r="Y15" i="3" s="1"/>
  <c r="V15" i="3"/>
  <c r="W15" i="3" s="1"/>
  <c r="Q9" i="3"/>
  <c r="Q10" i="3" s="1"/>
  <c r="Q11" i="3" s="1"/>
  <c r="H9" i="3"/>
  <c r="G9" i="3"/>
  <c r="F9" i="3"/>
  <c r="AD6" i="3"/>
  <c r="AC6" i="3" s="1"/>
  <c r="Z6" i="3"/>
  <c r="Y6" i="3" s="1"/>
  <c r="V6" i="3"/>
  <c r="H6" i="3"/>
  <c r="G6" i="3"/>
  <c r="F6" i="3"/>
  <c r="A2" i="3"/>
  <c r="Q2" i="3" s="1"/>
  <c r="Q1" i="3"/>
  <c r="A1" i="3"/>
  <c r="E10" i="2"/>
  <c r="E9" i="2"/>
  <c r="E8" i="2"/>
  <c r="E7" i="2"/>
  <c r="E5" i="2"/>
  <c r="E4" i="2"/>
  <c r="E15" i="2" s="1"/>
  <c r="E17" i="2" s="1"/>
  <c r="G2" i="2"/>
  <c r="Q17" i="3" l="1"/>
  <c r="Q16" i="3" s="1"/>
  <c r="G38" i="3"/>
  <c r="G16" i="4"/>
  <c r="AC38" i="3"/>
  <c r="Q31" i="3"/>
  <c r="Q30" i="3" s="1"/>
  <c r="F29" i="4"/>
  <c r="F8" i="3" s="1"/>
  <c r="F34" i="3" s="1"/>
  <c r="AA15" i="3"/>
  <c r="AC15" i="3"/>
  <c r="U29" i="3"/>
  <c r="H32" i="3"/>
  <c r="Q40" i="3"/>
  <c r="Q39" i="3" s="1"/>
  <c r="H38" i="3"/>
  <c r="I19" i="3"/>
  <c r="I30" i="3"/>
  <c r="I7" i="3"/>
  <c r="J32" i="3"/>
  <c r="I32" i="3"/>
  <c r="I33" i="3"/>
  <c r="H33" i="3"/>
  <c r="G23" i="4"/>
  <c r="AA6" i="3"/>
  <c r="AA29" i="3"/>
  <c r="AA38" i="3"/>
  <c r="G7" i="3"/>
  <c r="H37" i="3"/>
  <c r="W6" i="3"/>
  <c r="U6" i="3"/>
  <c r="U15" i="3"/>
  <c r="G30" i="3"/>
  <c r="I39" i="3"/>
  <c r="G37" i="3"/>
  <c r="U38" i="3"/>
  <c r="W38" i="3"/>
  <c r="E6" i="2"/>
  <c r="H30" i="3"/>
  <c r="H7" i="3"/>
  <c r="AE6" i="3"/>
  <c r="Q8" i="3"/>
  <c r="F37" i="3"/>
  <c r="AE29" i="3"/>
  <c r="F38" i="3"/>
  <c r="I16" i="4"/>
  <c r="F23" i="4"/>
  <c r="I25" i="4"/>
  <c r="G29" i="4"/>
  <c r="I32" i="4"/>
  <c r="I33" i="4"/>
  <c r="I10" i="3" s="1"/>
  <c r="H43" i="4"/>
  <c r="I19" i="4"/>
  <c r="I26" i="4"/>
  <c r="H29" i="4"/>
  <c r="J18" i="4"/>
  <c r="I28" i="4"/>
  <c r="I37" i="4"/>
  <c r="I17" i="3" s="1"/>
  <c r="F43" i="4"/>
  <c r="F31" i="3" s="1"/>
  <c r="F34" i="4" l="1"/>
  <c r="F35" i="4" s="1"/>
  <c r="I39" i="4"/>
  <c r="I18" i="3" s="1"/>
  <c r="F30" i="4"/>
  <c r="F16" i="4"/>
  <c r="F5" i="3" s="1"/>
  <c r="G5" i="3"/>
  <c r="K32" i="3"/>
  <c r="F11" i="3"/>
  <c r="F35" i="3" s="1"/>
  <c r="J33" i="3"/>
  <c r="H34" i="4"/>
  <c r="H35" i="4" s="1"/>
  <c r="H30" i="4"/>
  <c r="H8" i="3"/>
  <c r="G5" i="5"/>
  <c r="G7" i="5" s="1"/>
  <c r="G8" i="5" s="1"/>
  <c r="E11" i="2"/>
  <c r="I27" i="4"/>
  <c r="I9" i="3"/>
  <c r="J16" i="4"/>
  <c r="I5" i="3"/>
  <c r="J39" i="3"/>
  <c r="H31" i="3"/>
  <c r="I38" i="3"/>
  <c r="I16" i="3"/>
  <c r="J37" i="4"/>
  <c r="J17" i="3" s="1"/>
  <c r="J28" i="4"/>
  <c r="K18" i="4"/>
  <c r="J26" i="4"/>
  <c r="J19" i="4"/>
  <c r="J33" i="4"/>
  <c r="J10" i="3" s="1"/>
  <c r="J32" i="4"/>
  <c r="J25" i="4"/>
  <c r="J6" i="3"/>
  <c r="G34" i="4"/>
  <c r="G35" i="4" s="1"/>
  <c r="G30" i="4"/>
  <c r="G8" i="3"/>
  <c r="Q7" i="3"/>
  <c r="L32" i="3" l="1"/>
  <c r="J39" i="4"/>
  <c r="J18" i="3" s="1"/>
  <c r="K33" i="3"/>
  <c r="K26" i="4"/>
  <c r="K19" i="4"/>
  <c r="K33" i="4"/>
  <c r="K10" i="3" s="1"/>
  <c r="K32" i="4"/>
  <c r="K25" i="4"/>
  <c r="K37" i="4"/>
  <c r="K17" i="3" s="1"/>
  <c r="K28" i="4"/>
  <c r="L18" i="4"/>
  <c r="K6" i="3"/>
  <c r="I31" i="3"/>
  <c r="I21" i="4"/>
  <c r="I22" i="4" s="1"/>
  <c r="J38" i="3"/>
  <c r="J16" i="3"/>
  <c r="I37" i="3"/>
  <c r="I15" i="3"/>
  <c r="H34" i="3"/>
  <c r="H11" i="3"/>
  <c r="G11" i="5"/>
  <c r="J30" i="3"/>
  <c r="J19" i="3"/>
  <c r="J7" i="3"/>
  <c r="G34" i="3"/>
  <c r="G11" i="3"/>
  <c r="K39" i="3"/>
  <c r="J27" i="4"/>
  <c r="J9" i="3"/>
  <c r="K16" i="4"/>
  <c r="J5" i="3"/>
  <c r="M32" i="3" l="1"/>
  <c r="K39" i="4"/>
  <c r="K18" i="3" s="1"/>
  <c r="L33" i="3"/>
  <c r="M33" i="3"/>
  <c r="L16" i="4"/>
  <c r="K5" i="3"/>
  <c r="K19" i="3"/>
  <c r="K30" i="3"/>
  <c r="K7" i="3"/>
  <c r="K27" i="4"/>
  <c r="K9" i="3"/>
  <c r="J37" i="3"/>
  <c r="J15" i="3"/>
  <c r="G35" i="3"/>
  <c r="H35" i="3"/>
  <c r="I23" i="4"/>
  <c r="I29" i="4"/>
  <c r="L33" i="4"/>
  <c r="L10" i="3" s="1"/>
  <c r="L32" i="4"/>
  <c r="L25" i="4"/>
  <c r="L37" i="4"/>
  <c r="L17" i="3" s="1"/>
  <c r="L28" i="4"/>
  <c r="M18" i="4"/>
  <c r="L26" i="4"/>
  <c r="L19" i="4"/>
  <c r="L6" i="3"/>
  <c r="K16" i="3"/>
  <c r="K38" i="3"/>
  <c r="L39" i="3"/>
  <c r="M39" i="3"/>
  <c r="J31" i="3"/>
  <c r="J21" i="4"/>
  <c r="J22" i="4" s="1"/>
  <c r="M39" i="4" l="1"/>
  <c r="M18" i="3" s="1"/>
  <c r="M37" i="4"/>
  <c r="M17" i="3" s="1"/>
  <c r="M28" i="4"/>
  <c r="M26" i="4"/>
  <c r="M19" i="4"/>
  <c r="M33" i="4"/>
  <c r="M10" i="3" s="1"/>
  <c r="M32" i="4"/>
  <c r="M25" i="4"/>
  <c r="M6" i="3"/>
  <c r="J29" i="4"/>
  <c r="J23" i="4"/>
  <c r="L27" i="4"/>
  <c r="L9" i="3"/>
  <c r="K37" i="3"/>
  <c r="K15" i="3"/>
  <c r="K31" i="3"/>
  <c r="K21" i="4"/>
  <c r="K22" i="4" s="1"/>
  <c r="L38" i="3"/>
  <c r="L16" i="3"/>
  <c r="L30" i="3"/>
  <c r="L7" i="3"/>
  <c r="L19" i="3"/>
  <c r="L39" i="4"/>
  <c r="L18" i="3" s="1"/>
  <c r="I30" i="4"/>
  <c r="I34" i="4"/>
  <c r="I35" i="4" s="1"/>
  <c r="I8" i="3"/>
  <c r="M16" i="4"/>
  <c r="N14" i="4" s="1"/>
  <c r="L5" i="3"/>
  <c r="N18" i="4" l="1"/>
  <c r="M38" i="3"/>
  <c r="M16" i="3"/>
  <c r="J34" i="4"/>
  <c r="J35" i="4" s="1"/>
  <c r="J30" i="4"/>
  <c r="J8" i="3"/>
  <c r="I34" i="3"/>
  <c r="I11" i="3"/>
  <c r="L31" i="3"/>
  <c r="L21" i="4"/>
  <c r="L22" i="4" s="1"/>
  <c r="L37" i="3"/>
  <c r="L15" i="3"/>
  <c r="M19" i="3"/>
  <c r="M7" i="3"/>
  <c r="M30" i="3"/>
  <c r="M5" i="3"/>
  <c r="K23" i="4"/>
  <c r="K29" i="4"/>
  <c r="M27" i="4"/>
  <c r="M9" i="3"/>
  <c r="M31" i="3" l="1"/>
  <c r="M21" i="4"/>
  <c r="M22" i="4" s="1"/>
  <c r="N22" i="4" s="1"/>
  <c r="M37" i="3"/>
  <c r="M15" i="3"/>
  <c r="O6" i="3"/>
  <c r="O4" i="3"/>
  <c r="S6" i="3"/>
  <c r="S29" i="3"/>
  <c r="K34" i="4"/>
  <c r="K35" i="4" s="1"/>
  <c r="K30" i="4"/>
  <c r="K8" i="3"/>
  <c r="I35" i="3"/>
  <c r="L23" i="4"/>
  <c r="L29" i="4"/>
  <c r="J34" i="3"/>
  <c r="J11" i="3"/>
  <c r="J35" i="3" l="1"/>
  <c r="K34" i="3"/>
  <c r="K11" i="3"/>
  <c r="L34" i="4"/>
  <c r="L35" i="4" s="1"/>
  <c r="L30" i="4"/>
  <c r="L8" i="3"/>
  <c r="M23" i="4"/>
  <c r="M29" i="4"/>
  <c r="N29" i="4" s="1"/>
  <c r="M30" i="4" l="1"/>
  <c r="M34" i="4"/>
  <c r="M8" i="3"/>
  <c r="L34" i="3"/>
  <c r="L11" i="3"/>
  <c r="K35" i="3"/>
  <c r="M34" i="3" l="1"/>
  <c r="M11" i="3"/>
  <c r="V11" i="3"/>
  <c r="V9" i="3"/>
  <c r="V7" i="3"/>
  <c r="V10" i="3"/>
  <c r="V8" i="3"/>
  <c r="U9" i="3"/>
  <c r="W7" i="3"/>
  <c r="W9" i="3"/>
  <c r="U7" i="3"/>
  <c r="W10" i="3"/>
  <c r="U10" i="3"/>
  <c r="W8" i="3"/>
  <c r="U8" i="3"/>
  <c r="U11" i="3"/>
  <c r="W11" i="3"/>
  <c r="O8" i="3"/>
  <c r="L35" i="3"/>
  <c r="M35" i="4"/>
  <c r="M35" i="3" l="1"/>
  <c r="O11" i="3"/>
  <c r="L46" i="4" l="1"/>
  <c r="A12" i="3"/>
  <c r="J46" i="4"/>
  <c r="K46" i="4"/>
  <c r="M46" i="4"/>
  <c r="F12" i="3"/>
  <c r="F13" i="3" s="1"/>
  <c r="G12" i="3"/>
  <c r="G36" i="3" s="1"/>
  <c r="H12" i="3"/>
  <c r="H13" i="3" s="1"/>
  <c r="K12" i="3"/>
  <c r="K36" i="3" s="1"/>
  <c r="C12" i="5"/>
  <c r="C13" i="5" s="1"/>
  <c r="G12" i="5" s="1"/>
  <c r="G13" i="5" s="1"/>
  <c r="I12" i="3"/>
  <c r="I36" i="3" s="1"/>
  <c r="J12" i="3"/>
  <c r="J36" i="3" s="1"/>
  <c r="L12" i="3"/>
  <c r="L13" i="3" s="1"/>
  <c r="L20" i="3" s="1"/>
  <c r="I46" i="4"/>
  <c r="M12" i="3"/>
  <c r="M36" i="3" s="1"/>
  <c r="M13" i="3" l="1"/>
  <c r="M20" i="3" s="1"/>
  <c r="F36" i="3"/>
  <c r="L36" i="3"/>
  <c r="I13" i="3"/>
  <c r="I20" i="3" s="1"/>
  <c r="I23" i="3" s="1"/>
  <c r="K13" i="3"/>
  <c r="K20" i="3" s="1"/>
  <c r="K23" i="3" s="1"/>
  <c r="L23" i="3"/>
  <c r="AC33" i="3"/>
  <c r="AC30" i="3"/>
  <c r="AD32" i="3"/>
  <c r="M21" i="3"/>
  <c r="AD8" i="3"/>
  <c r="AE11" i="3"/>
  <c r="AE33" i="3"/>
  <c r="AD30" i="3"/>
  <c r="V32" i="3"/>
  <c r="U33" i="3"/>
  <c r="U32" i="3"/>
  <c r="W30" i="3"/>
  <c r="W34" i="3"/>
  <c r="U31" i="3"/>
  <c r="AC10" i="3"/>
  <c r="AE30" i="3"/>
  <c r="AC31" i="3"/>
  <c r="AC11" i="3"/>
  <c r="AE9" i="3"/>
  <c r="U34" i="3"/>
  <c r="AE31" i="3"/>
  <c r="AD9" i="3"/>
  <c r="AE34" i="3"/>
  <c r="AC9" i="3"/>
  <c r="AC34" i="3"/>
  <c r="AD33" i="3"/>
  <c r="AD7" i="3"/>
  <c r="AE10" i="3"/>
  <c r="V34" i="3"/>
  <c r="W31" i="3"/>
  <c r="U30" i="3"/>
  <c r="AC32" i="3"/>
  <c r="AD31" i="3"/>
  <c r="AC7" i="3"/>
  <c r="W33" i="3"/>
  <c r="M23" i="3"/>
  <c r="AD10" i="3"/>
  <c r="AD34" i="3"/>
  <c r="AC8" i="3"/>
  <c r="AE8" i="3"/>
  <c r="AE32" i="3"/>
  <c r="AE7" i="3"/>
  <c r="AD11" i="3"/>
  <c r="V31" i="3"/>
  <c r="W32" i="3"/>
  <c r="V33" i="3"/>
  <c r="V30" i="3"/>
  <c r="J13" i="3"/>
  <c r="J20" i="3" s="1"/>
  <c r="H36" i="3"/>
  <c r="G13" i="3"/>
  <c r="L21" i="3" l="1"/>
  <c r="J21" i="3"/>
  <c r="J23" i="3"/>
  <c r="K21" i="3"/>
  <c r="S8" i="3" l="1"/>
  <c r="S34" i="3"/>
  <c r="S31" i="3"/>
  <c r="S32" i="3"/>
  <c r="S9" i="3"/>
  <c r="S33" i="3"/>
  <c r="S11" i="3"/>
  <c r="S7" i="3"/>
  <c r="S30" i="3"/>
  <c r="S10" i="3"/>
  <c r="Y7" i="3" l="1"/>
  <c r="AA7" i="3"/>
  <c r="Z7" i="3"/>
  <c r="Y32" i="3"/>
  <c r="AA32" i="3"/>
  <c r="Z32" i="3"/>
  <c r="Y11" i="3"/>
  <c r="Z11" i="3"/>
  <c r="AA11" i="3"/>
  <c r="Y31" i="3"/>
  <c r="AA31" i="3"/>
  <c r="Z31" i="3"/>
  <c r="AA10" i="3"/>
  <c r="Y10" i="3"/>
  <c r="Z10" i="3"/>
  <c r="Y33" i="3"/>
  <c r="AA33" i="3"/>
  <c r="Z33" i="3"/>
  <c r="AA34" i="3"/>
  <c r="Z34" i="3"/>
  <c r="Y34" i="3"/>
  <c r="AA30" i="3"/>
  <c r="Y30" i="3"/>
  <c r="Z30" i="3"/>
  <c r="AA9" i="3"/>
  <c r="Z9" i="3"/>
  <c r="Y9" i="3"/>
  <c r="Y8" i="3"/>
  <c r="AA8" i="3"/>
  <c r="Z8" i="3"/>
  <c r="W17" i="3" l="1"/>
  <c r="AA17" i="3" s="1"/>
  <c r="AE17" i="3"/>
  <c r="U43" i="3"/>
  <c r="Y43" i="3" s="1"/>
  <c r="AC43" i="3"/>
  <c r="W41" i="3"/>
  <c r="AA41" i="3" s="1"/>
  <c r="AE41" i="3"/>
  <c r="AC17" i="3"/>
  <c r="U17" i="3"/>
  <c r="Y17" i="3" s="1"/>
  <c r="V43" i="3"/>
  <c r="Z43" i="3" s="1"/>
  <c r="AD43" i="3"/>
  <c r="V40" i="3"/>
  <c r="Z40" i="3" s="1"/>
  <c r="AD40" i="3"/>
  <c r="AD20" i="3"/>
  <c r="V20" i="3"/>
  <c r="Z20" i="3" s="1"/>
  <c r="AC18" i="3"/>
  <c r="U18" i="3"/>
  <c r="Y18" i="3" s="1"/>
  <c r="U39" i="3"/>
  <c r="Y39" i="3" s="1"/>
  <c r="AC39" i="3"/>
  <c r="W43" i="3"/>
  <c r="AA43" i="3" s="1"/>
  <c r="AE43" i="3"/>
  <c r="AD19" i="3"/>
  <c r="V19" i="3"/>
  <c r="Z19" i="3" s="1"/>
  <c r="W40" i="3"/>
  <c r="AA40" i="3" s="1"/>
  <c r="AE40" i="3"/>
  <c r="U20" i="3"/>
  <c r="Y20" i="3" s="1"/>
  <c r="AC20" i="3"/>
  <c r="V16" i="3"/>
  <c r="Z16" i="3" s="1"/>
  <c r="AD16" i="3"/>
  <c r="W18" i="3"/>
  <c r="AA18" i="3" s="1"/>
  <c r="AE18" i="3"/>
  <c r="W42" i="3"/>
  <c r="AA42" i="3" s="1"/>
  <c r="AE42" i="3"/>
  <c r="AE19" i="3"/>
  <c r="W19" i="3"/>
  <c r="AA19" i="3" s="1"/>
  <c r="AE20" i="3"/>
  <c r="W20" i="3"/>
  <c r="AA20" i="3" s="1"/>
  <c r="U16" i="3"/>
  <c r="Y16" i="3" s="1"/>
  <c r="AC16" i="3"/>
  <c r="V39" i="3"/>
  <c r="Z39" i="3" s="1"/>
  <c r="AD39" i="3"/>
  <c r="U42" i="3"/>
  <c r="Y42" i="3" s="1"/>
  <c r="AC42" i="3"/>
  <c r="U41" i="3"/>
  <c r="Y41" i="3" s="1"/>
  <c r="AC41" i="3"/>
  <c r="V17" i="3"/>
  <c r="Z17" i="3" s="1"/>
  <c r="AD17" i="3"/>
  <c r="AD18" i="3"/>
  <c r="V18" i="3"/>
  <c r="Z18" i="3" s="1"/>
  <c r="W39" i="3"/>
  <c r="AA39" i="3" s="1"/>
  <c r="AE39" i="3"/>
  <c r="V42" i="3"/>
  <c r="Z42" i="3" s="1"/>
  <c r="AD42" i="3"/>
  <c r="U19" i="3"/>
  <c r="Y19" i="3" s="1"/>
  <c r="AC19" i="3"/>
  <c r="U40" i="3"/>
  <c r="Y40" i="3" s="1"/>
  <c r="AC40" i="3"/>
  <c r="V41" i="3"/>
  <c r="Z41" i="3" s="1"/>
  <c r="AD41" i="3"/>
  <c r="W16" i="3"/>
  <c r="AA16" i="3" s="1"/>
  <c r="AE16" i="3"/>
</calcChain>
</file>

<file path=xl/comments1.xml><?xml version="1.0" encoding="utf-8"?>
<comments xmlns="http://schemas.openxmlformats.org/spreadsheetml/2006/main">
  <authors>
    <author>Windows User</author>
  </authors>
  <commentList>
    <comment ref="H15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>Obtainable via bottom of Cap IQ "Key Stats" worksheet.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kfinn: Intangible asset amortization is not tax deductible.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kfinn: Typically, for a non-deferred revenue company, the figures at right should be negative.  However, this number can be positive (i.e. a source of funds)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 xml:space="preserve">Think of this as a hurdle rate, but can be cross-checked with a WACC.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 xml:space="preserve">This should be your price target that you want to display in your pitch.
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 xml:space="preserve">Intangible asset amortization is not tax-deductible, thus, this line-item should usually be "off".
</t>
        </r>
      </text>
    </comment>
    <comment ref="N37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 xml:space="preserve">This should normally be on.  In other words, treated just like depreciation.
</t>
        </r>
      </text>
    </comment>
    <comment ref="F46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 xml:space="preserve">Obtained via bottom of IS in Cap IQ
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 xml:space="preserve">Include deferred revenue (short &amp; long-term) as a source of funds), exclude cash.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E28" authorId="0">
      <text>
        <r>
          <rPr>
            <b/>
            <sz val="9"/>
            <color indexed="81"/>
            <rFont val="Tahoma"/>
            <family val="2"/>
          </rPr>
          <t>kfinn:</t>
        </r>
        <r>
          <rPr>
            <sz val="9"/>
            <color indexed="81"/>
            <rFont val="Tahoma"/>
            <family val="2"/>
          </rPr>
          <t xml:space="preserve">Cap IQ does not provide this data, however it can be calculated by dividing NTM Sales by NTM EBITDA.
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 xml:space="preserve">Calculate with Cap IQ data by dividing NTM/LTM-1
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 xml:space="preserve">Calculate with Cap IQ data by dividing NTM/LTM-1
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 xml:space="preserve">Calculate with Cap IQ data by dividing NTM/LTM-1
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 xml:space="preserve">Determine whether mean or median is best estimate and determine which valuation mutliple makes most sense.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 xml:space="preserve">safe assumption is 5% to 7%.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 xml:space="preserve">kfinn: </t>
        </r>
        <r>
          <rPr>
            <sz val="9"/>
            <color indexed="81"/>
            <rFont val="Tahoma"/>
            <family val="2"/>
          </rPr>
          <t xml:space="preserve">Can be obtained from company's outstanding debt, or index based on estimation of firm's credit rating
</t>
        </r>
      </text>
    </comment>
  </commentList>
</comments>
</file>

<file path=xl/sharedStrings.xml><?xml version="1.0" encoding="utf-8"?>
<sst xmlns="http://schemas.openxmlformats.org/spreadsheetml/2006/main" count="300" uniqueCount="204">
  <si>
    <t xml:space="preserve">Notes: </t>
  </si>
  <si>
    <t>(1) Blue text is an input, black text is a calculation.</t>
  </si>
  <si>
    <t xml:space="preserve">(2) Paste values from Cap IQ Excel output is quickest route to financials. </t>
  </si>
  <si>
    <t>(3) The Cap IQ Excel file referred to above is titled "Download Financials" and can be obtained from the top of the Cap IQ "Key Stats" page.</t>
  </si>
  <si>
    <t>(4) Right-hand side of tearsheet, excluding multiples, is best completed with an equity research report near mean Street estimate.</t>
  </si>
  <si>
    <t>(5) See red-flag comments throughout workbook for additional guidance.</t>
  </si>
  <si>
    <t>To use:</t>
  </si>
  <si>
    <t>(1) Update all blue text cells located on the following worksheets: "Assumptions", "Tearsheet" and "WACC" (just a few on WACC).  All other cells and worksheets will calculate.</t>
  </si>
  <si>
    <t>Capital Structure</t>
  </si>
  <si>
    <t>Stock Price</t>
  </si>
  <si>
    <t>Revenue</t>
  </si>
  <si>
    <t>Fully-diluted shares</t>
  </si>
  <si>
    <t>YoY Growth</t>
  </si>
  <si>
    <t>Market Cap</t>
  </si>
  <si>
    <t>EBITDA</t>
  </si>
  <si>
    <t>NA</t>
  </si>
  <si>
    <t>Plus: Debt</t>
  </si>
  <si>
    <t>Margin</t>
  </si>
  <si>
    <t>Plus: Preferred Stock</t>
  </si>
  <si>
    <t>EBIT</t>
  </si>
  <si>
    <t>Plus: Minority Interest</t>
  </si>
  <si>
    <t>Less: Cash &amp; Cash Equiv.</t>
  </si>
  <si>
    <t>Net Income</t>
  </si>
  <si>
    <t>Enterprise Value</t>
  </si>
  <si>
    <t>Diluted EPS</t>
  </si>
  <si>
    <t>Current Price</t>
  </si>
  <si>
    <t>EV / Sales</t>
  </si>
  <si>
    <t>52-Wk. Target</t>
  </si>
  <si>
    <t>EV / EBITDA</t>
  </si>
  <si>
    <t>Upside %</t>
  </si>
  <si>
    <t>P / Diluted EPS</t>
  </si>
  <si>
    <t>(1) Forecasted financias based on Wall Street research from Morgan Stanley.</t>
  </si>
  <si>
    <t>A</t>
  </si>
  <si>
    <t>+</t>
  </si>
  <si>
    <t>B</t>
  </si>
  <si>
    <t>=</t>
  </si>
  <si>
    <t>C</t>
  </si>
  <si>
    <t>Terminal Value Sensitivity</t>
  </si>
  <si>
    <t>CAGR</t>
  </si>
  <si>
    <t>PV of Cash</t>
  </si>
  <si>
    <t xml:space="preserve">Present Value of Residual at Exit Multiple of: </t>
  </si>
  <si>
    <t xml:space="preserve">Enterprise Value at Exit Multiple of: </t>
  </si>
  <si>
    <t>Growth Rate Sensitivity at Exit Multiple of:</t>
  </si>
  <si>
    <t>Sales</t>
  </si>
  <si>
    <t>Discount Rate</t>
  </si>
  <si>
    <t>growth</t>
  </si>
  <si>
    <t>Less:  Depreciation</t>
  </si>
  <si>
    <t>Less:  Amortization</t>
  </si>
  <si>
    <r>
      <t xml:space="preserve">Adj. EBIT </t>
    </r>
    <r>
      <rPr>
        <vertAlign val="superscript"/>
        <sz val="10"/>
        <rFont val="Arial"/>
        <family val="2"/>
      </rPr>
      <t>(1)</t>
    </r>
  </si>
  <si>
    <t>Net Operating Profit After Taxes (NOPAT)</t>
  </si>
  <si>
    <t>-</t>
  </si>
  <si>
    <t>D</t>
  </si>
  <si>
    <t>E</t>
  </si>
  <si>
    <t>F</t>
  </si>
  <si>
    <t xml:space="preserve">Equity Value at Exit Multiple of: </t>
  </si>
  <si>
    <t xml:space="preserve">Per Share Value at Exit Multiple of: </t>
  </si>
  <si>
    <t>Terminal Value as a % of Enterprise Value:</t>
  </si>
  <si>
    <t>Plus:  Depreciation</t>
  </si>
  <si>
    <t>Net Debt</t>
  </si>
  <si>
    <t>Plus:  Amortization</t>
  </si>
  <si>
    <t>Plus:  Share-based Compensation</t>
  </si>
  <si>
    <t>Less:  Capital Expenditures</t>
  </si>
  <si>
    <t>Less:  Working Capital Investment</t>
  </si>
  <si>
    <t>Unlevered Free Cash Flow</t>
  </si>
  <si>
    <t>Partial Period</t>
  </si>
  <si>
    <t>Stub-Adjusted UFCF</t>
  </si>
  <si>
    <t>Mid-year Convention</t>
  </si>
  <si>
    <t>(1) Adjusted EBIT does not deduct amortization of intangible assets.</t>
  </si>
  <si>
    <t xml:space="preserve">Present Value of Residual at Growth Rate of: </t>
  </si>
  <si>
    <t xml:space="preserve">Enterprise Value at Growth Rate of: </t>
  </si>
  <si>
    <t>Exit Multiple Sensitivity at Growth Rate of:</t>
  </si>
  <si>
    <t>Growth and Margins</t>
  </si>
  <si>
    <t>Sales growth rate</t>
  </si>
  <si>
    <t>Gross margin</t>
  </si>
  <si>
    <t>SG&amp;A</t>
  </si>
  <si>
    <t>R&amp;D</t>
  </si>
  <si>
    <t>Effective tax rate</t>
  </si>
  <si>
    <t>Depreciation</t>
  </si>
  <si>
    <t xml:space="preserve">Equity Value at Growth Rate of: </t>
  </si>
  <si>
    <t xml:space="preserve">Per Share Value at Growth Rate of: </t>
  </si>
  <si>
    <t>Amortization</t>
  </si>
  <si>
    <t>Cap Ex</t>
  </si>
  <si>
    <t>Company Information</t>
  </si>
  <si>
    <t>Input</t>
  </si>
  <si>
    <t>Definition</t>
  </si>
  <si>
    <t>Company Name</t>
  </si>
  <si>
    <t>"name"</t>
  </si>
  <si>
    <t>Share Price</t>
  </si>
  <si>
    <t>"shareprice"</t>
  </si>
  <si>
    <t>Sub-header</t>
  </si>
  <si>
    <t>Dollars in millions, except per share</t>
  </si>
  <si>
    <t>"subheader"</t>
  </si>
  <si>
    <t>Fully-diluted Shares</t>
  </si>
  <si>
    <t>"sharesout"</t>
  </si>
  <si>
    <t>Last Fiscal Year End</t>
  </si>
  <si>
    <t>"FYE"</t>
  </si>
  <si>
    <t>Debt</t>
  </si>
  <si>
    <t>"debt"</t>
  </si>
  <si>
    <t>Tax Rate</t>
  </si>
  <si>
    <t>"tax"</t>
  </si>
  <si>
    <t>Preferred Stock</t>
  </si>
  <si>
    <t>"prefstock"</t>
  </si>
  <si>
    <t>Valuation Date</t>
  </si>
  <si>
    <t>"valdate"</t>
  </si>
  <si>
    <t>Minority Interest</t>
  </si>
  <si>
    <t>"mininterest"</t>
  </si>
  <si>
    <t>Terminal Growth Rate</t>
  </si>
  <si>
    <t>"termgrowth"</t>
  </si>
  <si>
    <t>Cash &amp; Cash Equiv</t>
  </si>
  <si>
    <t>"cash"</t>
  </si>
  <si>
    <t>Discount rate</t>
  </si>
  <si>
    <t>"rate"</t>
  </si>
  <si>
    <t>52-week high</t>
  </si>
  <si>
    <t>"high"</t>
  </si>
  <si>
    <t>Exit Multiple</t>
  </si>
  <si>
    <t>"multiple"</t>
  </si>
  <si>
    <t>52-week low</t>
  </si>
  <si>
    <t>"low"</t>
  </si>
  <si>
    <t>Price target</t>
  </si>
  <si>
    <t>"target"</t>
  </si>
  <si>
    <t>Cost of Goods Sold</t>
  </si>
  <si>
    <t>Gross Profit</t>
  </si>
  <si>
    <t>margin</t>
  </si>
  <si>
    <t>SG&amp;A (incl. share-based comp)</t>
  </si>
  <si>
    <t>R&amp;D (incl. share-based comp)</t>
  </si>
  <si>
    <t>Plus: Depreciation</t>
  </si>
  <si>
    <t>Plus: Amortization</t>
  </si>
  <si>
    <t>1 = "on", 0 ="off"</t>
  </si>
  <si>
    <t>Less: Depreciation</t>
  </si>
  <si>
    <t>Less: Amortization</t>
  </si>
  <si>
    <t xml:space="preserve">Adj. EBIT </t>
  </si>
  <si>
    <t>Share-based Compensation</t>
  </si>
  <si>
    <t>Ratios &amp; Assumptions</t>
  </si>
  <si>
    <t>Equity</t>
  </si>
  <si>
    <t>Risk-free Rate (10-year Treasury)</t>
  </si>
  <si>
    <t>Beta</t>
  </si>
  <si>
    <t>Equity Risk Premium</t>
  </si>
  <si>
    <t>Total Capital</t>
  </si>
  <si>
    <t>Cost of Equity</t>
  </si>
  <si>
    <t>Debt/Total Capital</t>
  </si>
  <si>
    <t>WACC</t>
  </si>
  <si>
    <t>Cost of Debt</t>
  </si>
  <si>
    <t>Weighted Cost of Equity</t>
  </si>
  <si>
    <t>Weighted Cost of Debt</t>
  </si>
  <si>
    <t>Cost of Debt (post-tax)</t>
  </si>
  <si>
    <t>Weighted Avg. Cost of Capital (rounded)</t>
  </si>
  <si>
    <t>Working Capital % Revenue</t>
  </si>
  <si>
    <t>Comments</t>
  </si>
  <si>
    <t>Cap IQ consensus through 2013</t>
  </si>
  <si>
    <t>Held constant</t>
  </si>
  <si>
    <t>Adj. to hit 60% EBIT, per Cap IQ est.</t>
  </si>
  <si>
    <t>Based on historicals</t>
  </si>
  <si>
    <t>Set equal to depreciation</t>
  </si>
  <si>
    <t>Dividend Yield</t>
  </si>
  <si>
    <t>"yield"</t>
  </si>
  <si>
    <t>52 Wk. High</t>
  </si>
  <si>
    <t>52 Wk. Low</t>
  </si>
  <si>
    <t>Changyou.com, Ltd.</t>
  </si>
  <si>
    <t>3-year avg. effective rate.</t>
  </si>
  <si>
    <t>Based on last fiscal year</t>
  </si>
  <si>
    <t xml:space="preserve">Working Capital Investment </t>
  </si>
  <si>
    <t>Trading Multiples</t>
  </si>
  <si>
    <t>Enterprise Value as a Multiple of:</t>
  </si>
  <si>
    <t>Enterprise</t>
  </si>
  <si>
    <t>P/E</t>
  </si>
  <si>
    <t>P/E/G</t>
  </si>
  <si>
    <t>Equity Value</t>
  </si>
  <si>
    <t>Value</t>
  </si>
  <si>
    <t>TTM</t>
  </si>
  <si>
    <t>NTM</t>
  </si>
  <si>
    <t>Kingsoft Corporation</t>
  </si>
  <si>
    <t>NetDragon WebSoft</t>
  </si>
  <si>
    <t>NetEase.com</t>
  </si>
  <si>
    <t xml:space="preserve">Perfect World </t>
  </si>
  <si>
    <t>Shanda Games</t>
  </si>
  <si>
    <t>Shenzhen Zhongqingbao</t>
  </si>
  <si>
    <t>NM</t>
  </si>
  <si>
    <t>Tencent</t>
  </si>
  <si>
    <t>Changyou.com</t>
  </si>
  <si>
    <t>High</t>
  </si>
  <si>
    <t>Mean</t>
  </si>
  <si>
    <t>Median</t>
  </si>
  <si>
    <t>Low</t>
  </si>
  <si>
    <t>Operating Statistics</t>
  </si>
  <si>
    <t>1-Year Growth</t>
  </si>
  <si>
    <t>TTM Gross Profit</t>
  </si>
  <si>
    <t>TTM EBITDA</t>
  </si>
  <si>
    <t>NTM EBITDA</t>
  </si>
  <si>
    <t>TTM Net Income</t>
  </si>
  <si>
    <t>NTM Revenue</t>
  </si>
  <si>
    <t>NTM EPS</t>
  </si>
  <si>
    <t>Debt/Capital</t>
  </si>
  <si>
    <t>Forward Revenue, EBITDA, and EPS estimates based on Wall Street Consensus.</t>
  </si>
  <si>
    <t>P/E multiples on a fully-diluted basis</t>
  </si>
  <si>
    <t>Valuation</t>
  </si>
  <si>
    <t>Assigned Multiple: Median</t>
  </si>
  <si>
    <t>Enterprise Value (or Equity Value, where appropriate)</t>
  </si>
  <si>
    <t>Less: Debt</t>
  </si>
  <si>
    <t>Less: Preferred Stock</t>
  </si>
  <si>
    <t>Less: Minority Interest</t>
  </si>
  <si>
    <t>Plus:  Cash &amp; Marketable Securities</t>
  </si>
  <si>
    <t>Equals: Equity Value</t>
  </si>
  <si>
    <t>Shares Out</t>
  </si>
  <si>
    <t>Implied Share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</si>
</sst>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?_);_(@_)"/>
    <numFmt numFmtId="166" formatCode="_(* #,##0.0_);_(* \(#,##0.0\);_(* &quot;-&quot;??_);_(@_)"/>
    <numFmt numFmtId="167" formatCode="0.0%"/>
    <numFmt numFmtId="168" formatCode="#,##0.0\x"/>
    <numFmt numFmtId="169" formatCode="0_);\(0\)"/>
    <numFmt numFmtId="170" formatCode="&quot;$&quot;#,##0.0_);\(&quot;$&quot;#,##0.0\)"/>
    <numFmt numFmtId="171" formatCode="#,##0.0%_);\(#,##0.0%\)"/>
    <numFmt numFmtId="172" formatCode="#0.0\x"/>
    <numFmt numFmtId="173" formatCode="#,##0.0_);\(#,##0.0\)"/>
    <numFmt numFmtId="174" formatCode="#,##0.0\x_)"/>
    <numFmt numFmtId="175" formatCode="#,##0.00%_);\(#,##0.00%\)"/>
    <numFmt numFmtId="176" formatCode="0.0%_);\(0.0%\)"/>
    <numFmt numFmtId="177" formatCode="#,##0.000_);\(#,##0.000\)"/>
    <numFmt numFmtId="178" formatCode="0\)"/>
  </numFmts>
  <fonts count="60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b/>
      <i/>
      <sz val="10"/>
      <color rgb="FF0070C0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4"/>
      <color indexed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sz val="10"/>
      <color indexed="23"/>
      <name val="Wingdings"/>
      <charset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i/>
      <sz val="10"/>
      <color indexed="8"/>
      <name val="Arial"/>
      <family val="2"/>
    </font>
    <font>
      <sz val="7"/>
      <name val="Arial"/>
      <family val="2"/>
    </font>
    <font>
      <sz val="10"/>
      <color rgb="FF0070C0"/>
      <name val="Arial"/>
      <family val="2"/>
    </font>
    <font>
      <b/>
      <sz val="10"/>
      <color indexed="8"/>
      <name val="Arial"/>
      <family val="2"/>
    </font>
    <font>
      <sz val="10"/>
      <color rgb="FF0000FF"/>
      <name val="Arial"/>
      <family val="2"/>
    </font>
    <font>
      <b/>
      <i/>
      <sz val="8"/>
      <color indexed="23"/>
      <name val="Arial"/>
      <family val="2"/>
    </font>
    <font>
      <sz val="8"/>
      <color indexed="8"/>
      <name val="Arial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u/>
      <sz val="9"/>
      <name val="Arial"/>
      <family val="2"/>
    </font>
    <font>
      <sz val="9"/>
      <color rgb="FF0000FF"/>
      <name val="Arial"/>
      <family val="2"/>
    </font>
    <font>
      <b/>
      <sz val="10"/>
      <color indexed="8"/>
      <name val="Times New Roman"/>
      <family val="1"/>
    </font>
    <font>
      <b/>
      <u val="singleAccounting"/>
      <sz val="8"/>
      <color indexed="8"/>
      <name val="Arial"/>
      <family val="2"/>
    </font>
    <font>
      <sz val="1"/>
      <color indexed="9"/>
      <name val="Symbol"/>
      <family val="1"/>
      <charset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3"/>
      <color indexed="8"/>
      <name val="Verdana"/>
      <family val="2"/>
    </font>
    <font>
      <i/>
      <sz val="10"/>
      <color rgb="FF0070C0"/>
      <name val="Arial"/>
      <family val="2"/>
    </font>
    <font>
      <sz val="10"/>
      <color indexed="9"/>
      <name val="Arial"/>
      <family val="2"/>
    </font>
    <font>
      <b/>
      <u val="singleAccounting"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3" fillId="0" borderId="0"/>
    <xf numFmtId="0" fontId="27" fillId="0" borderId="0" applyAlignment="0"/>
    <xf numFmtId="0" fontId="44" fillId="4" borderId="0" applyAlignment="0"/>
    <xf numFmtId="44" fontId="1" fillId="0" borderId="0" applyFont="0" applyFill="0" applyBorder="0" applyAlignment="0" applyProtection="0"/>
    <xf numFmtId="0" fontId="45" fillId="0" borderId="0" applyAlignment="0"/>
    <xf numFmtId="0" fontId="46" fillId="5" borderId="0" applyAlignment="0"/>
    <xf numFmtId="0" fontId="47" fillId="6" borderId="0" applyAlignment="0"/>
    <xf numFmtId="0" fontId="48" fillId="0" borderId="0" applyAlignment="0"/>
    <xf numFmtId="0" fontId="4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0" fillId="0" borderId="0"/>
    <xf numFmtId="0" fontId="51" fillId="7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37" fillId="0" borderId="0" applyAlignment="0"/>
    <xf numFmtId="0" fontId="56" fillId="0" borderId="0" applyAlignment="0"/>
    <xf numFmtId="0" fontId="54" fillId="0" borderId="0" applyAlignment="0">
      <alignment wrapText="1"/>
    </xf>
  </cellStyleXfs>
  <cellXfs count="40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2" borderId="0" xfId="4" applyFont="1" applyFill="1" applyAlignment="1">
      <alignment horizontal="centerContinuous"/>
    </xf>
    <xf numFmtId="0" fontId="5" fillId="0" borderId="0" xfId="4" applyFont="1"/>
    <xf numFmtId="0" fontId="1" fillId="0" borderId="0" xfId="4" applyFont="1"/>
    <xf numFmtId="0" fontId="5" fillId="0" borderId="0" xfId="4" applyFont="1" applyFill="1"/>
    <xf numFmtId="0" fontId="6" fillId="0" borderId="1" xfId="4" applyFont="1" applyFill="1" applyBorder="1" applyAlignment="1">
      <alignment horizontal="center"/>
    </xf>
    <xf numFmtId="44" fontId="1" fillId="0" borderId="0" xfId="4" applyNumberFormat="1" applyFont="1"/>
    <xf numFmtId="0" fontId="6" fillId="0" borderId="0" xfId="4" applyFont="1" applyFill="1"/>
    <xf numFmtId="164" fontId="7" fillId="0" borderId="0" xfId="4" applyNumberFormat="1" applyFont="1" applyFill="1"/>
    <xf numFmtId="165" fontId="1" fillId="0" borderId="0" xfId="4" applyNumberFormat="1" applyFont="1"/>
    <xf numFmtId="0" fontId="8" fillId="0" borderId="0" xfId="4" applyFont="1" applyFill="1" applyAlignment="1">
      <alignment horizontal="right"/>
    </xf>
    <xf numFmtId="9" fontId="8" fillId="0" borderId="0" xfId="4" applyNumberFormat="1" applyFont="1" applyFill="1" applyAlignment="1">
      <alignment horizontal="right"/>
    </xf>
    <xf numFmtId="0" fontId="6" fillId="0" borderId="0" xfId="4" applyFont="1"/>
    <xf numFmtId="165" fontId="6" fillId="0" borderId="2" xfId="4" applyNumberFormat="1" applyFont="1" applyBorder="1"/>
    <xf numFmtId="166" fontId="7" fillId="0" borderId="0" xfId="4" applyNumberFormat="1" applyFont="1" applyFill="1"/>
    <xf numFmtId="166" fontId="7" fillId="0" borderId="0" xfId="4" applyNumberFormat="1" applyFont="1" applyFill="1" applyAlignment="1">
      <alignment horizontal="right"/>
    </xf>
    <xf numFmtId="167" fontId="8" fillId="0" borderId="0" xfId="3" applyNumberFormat="1" applyFont="1" applyFill="1" applyAlignment="1">
      <alignment horizontal="right"/>
    </xf>
    <xf numFmtId="164" fontId="6" fillId="0" borderId="2" xfId="4" applyNumberFormat="1" applyFont="1" applyBorder="1"/>
    <xf numFmtId="167" fontId="8" fillId="0" borderId="0" xfId="4" applyNumberFormat="1" applyFont="1" applyFill="1" applyAlignment="1">
      <alignment horizontal="right"/>
    </xf>
    <xf numFmtId="43" fontId="5" fillId="0" borderId="0" xfId="4" applyNumberFormat="1" applyFont="1"/>
    <xf numFmtId="44" fontId="7" fillId="0" borderId="0" xfId="2" applyFont="1" applyFill="1"/>
    <xf numFmtId="168" fontId="9" fillId="0" borderId="0" xfId="4" applyNumberFormat="1" applyFont="1" applyFill="1" applyAlignment="1">
      <alignment horizontal="right"/>
    </xf>
    <xf numFmtId="0" fontId="10" fillId="0" borderId="0" xfId="4" applyFont="1"/>
    <xf numFmtId="0" fontId="13" fillId="0" borderId="0" xfId="0" applyFont="1" applyBorder="1"/>
    <xf numFmtId="0" fontId="14" fillId="0" borderId="0" xfId="0" applyFont="1" applyBorder="1" applyAlignment="1" applyProtection="1">
      <protection locked="0"/>
    </xf>
    <xf numFmtId="0" fontId="14" fillId="0" borderId="0" xfId="0" applyFont="1" applyBorder="1"/>
    <xf numFmtId="0" fontId="15" fillId="0" borderId="0" xfId="0" applyFont="1" applyBorder="1"/>
    <xf numFmtId="0" fontId="3" fillId="0" borderId="3" xfId="0" applyFont="1" applyBorder="1"/>
    <xf numFmtId="0" fontId="1" fillId="0" borderId="3" xfId="0" applyFont="1" applyBorder="1" applyAlignment="1"/>
    <xf numFmtId="0" fontId="16" fillId="0" borderId="3" xfId="0" applyFont="1" applyBorder="1"/>
    <xf numFmtId="0" fontId="1" fillId="0" borderId="3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/>
    <xf numFmtId="0" fontId="16" fillId="0" borderId="0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/>
    <xf numFmtId="0" fontId="4" fillId="2" borderId="6" xfId="0" applyFont="1" applyFill="1" applyBorder="1" applyAlignment="1">
      <alignment horizontal="centerContinuous"/>
    </xf>
    <xf numFmtId="0" fontId="17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1" fillId="0" borderId="0" xfId="0" quotePrefix="1" applyFont="1" applyAlignment="1">
      <alignment horizontal="center"/>
    </xf>
    <xf numFmtId="0" fontId="1" fillId="0" borderId="10" xfId="0" applyFont="1" applyBorder="1"/>
    <xf numFmtId="0" fontId="4" fillId="2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169" fontId="1" fillId="0" borderId="6" xfId="0" applyNumberFormat="1" applyFont="1" applyBorder="1"/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6" fillId="0" borderId="10" xfId="0" applyFont="1" applyBorder="1" applyAlignment="1">
      <alignment horizontal="left"/>
    </xf>
    <xf numFmtId="0" fontId="1" fillId="0" borderId="11" xfId="0" applyFont="1" applyBorder="1"/>
    <xf numFmtId="0" fontId="1" fillId="0" borderId="0" xfId="0" applyFont="1" applyAlignment="1">
      <alignment horizontal="left"/>
    </xf>
    <xf numFmtId="170" fontId="1" fillId="0" borderId="0" xfId="0" applyNumberFormat="1" applyFont="1" applyProtection="1"/>
    <xf numFmtId="170" fontId="1" fillId="0" borderId="0" xfId="0" applyNumberFormat="1" applyFont="1" applyBorder="1" applyProtection="1"/>
    <xf numFmtId="171" fontId="3" fillId="0" borderId="0" xfId="0" applyNumberFormat="1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72" fontId="16" fillId="0" borderId="1" xfId="0" applyNumberFormat="1" applyFont="1" applyBorder="1" applyAlignment="1">
      <alignment horizontal="center"/>
    </xf>
    <xf numFmtId="172" fontId="16" fillId="0" borderId="13" xfId="0" applyNumberFormat="1" applyFont="1" applyBorder="1" applyAlignment="1">
      <alignment horizontal="center"/>
    </xf>
    <xf numFmtId="172" fontId="16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73" fontId="1" fillId="0" borderId="0" xfId="0" applyNumberFormat="1" applyFont="1" applyProtection="1"/>
    <xf numFmtId="9" fontId="10" fillId="0" borderId="0" xfId="0" applyNumberFormat="1" applyFont="1" applyProtection="1"/>
    <xf numFmtId="167" fontId="1" fillId="0" borderId="10" xfId="0" applyNumberFormat="1" applyFont="1" applyBorder="1"/>
    <xf numFmtId="42" fontId="1" fillId="0" borderId="0" xfId="0" applyNumberFormat="1" applyFont="1" applyBorder="1"/>
    <xf numFmtId="42" fontId="1" fillId="0" borderId="11" xfId="0" applyNumberFormat="1" applyFont="1" applyBorder="1"/>
    <xf numFmtId="0" fontId="1" fillId="0" borderId="0" xfId="0" applyFont="1" applyFill="1"/>
    <xf numFmtId="167" fontId="1" fillId="0" borderId="10" xfId="3" applyNumberFormat="1" applyFont="1" applyFill="1" applyBorder="1"/>
    <xf numFmtId="167" fontId="1" fillId="0" borderId="0" xfId="3" applyNumberFormat="1" applyFont="1" applyFill="1" applyBorder="1"/>
    <xf numFmtId="167" fontId="1" fillId="0" borderId="11" xfId="3" applyNumberFormat="1" applyFont="1" applyFill="1" applyBorder="1"/>
    <xf numFmtId="173" fontId="1" fillId="0" borderId="0" xfId="0" applyNumberFormat="1" applyFont="1" applyBorder="1" applyProtection="1"/>
    <xf numFmtId="41" fontId="1" fillId="0" borderId="0" xfId="0" applyNumberFormat="1" applyFont="1" applyBorder="1"/>
    <xf numFmtId="41" fontId="1" fillId="0" borderId="11" xfId="0" applyNumberFormat="1" applyFont="1" applyBorder="1"/>
    <xf numFmtId="167" fontId="1" fillId="0" borderId="10" xfId="3" applyNumberFormat="1" applyFont="1" applyBorder="1"/>
    <xf numFmtId="173" fontId="1" fillId="0" borderId="0" xfId="0" applyNumberFormat="1" applyFont="1" applyFill="1" applyProtection="1"/>
    <xf numFmtId="173" fontId="1" fillId="0" borderId="2" xfId="0" applyNumberFormat="1" applyFont="1" applyBorder="1" applyProtection="1"/>
    <xf numFmtId="171" fontId="1" fillId="0" borderId="0" xfId="0" applyNumberFormat="1" applyFont="1" applyFill="1" applyProtection="1"/>
    <xf numFmtId="173" fontId="1" fillId="0" borderId="0" xfId="0" applyNumberFormat="1" applyFont="1"/>
    <xf numFmtId="0" fontId="16" fillId="0" borderId="10" xfId="0" applyFont="1" applyFill="1" applyBorder="1"/>
    <xf numFmtId="0" fontId="1" fillId="0" borderId="0" xfId="0" applyFont="1" applyFill="1" applyBorder="1"/>
    <xf numFmtId="0" fontId="1" fillId="0" borderId="11" xfId="0" applyFont="1" applyFill="1" applyBorder="1"/>
    <xf numFmtId="44" fontId="1" fillId="0" borderId="0" xfId="0" applyNumberFormat="1" applyFont="1" applyBorder="1"/>
    <xf numFmtId="44" fontId="1" fillId="0" borderId="11" xfId="0" applyNumberFormat="1" applyFont="1" applyBorder="1"/>
    <xf numFmtId="167" fontId="1" fillId="0" borderId="0" xfId="3" applyNumberFormat="1" applyFont="1" applyBorder="1"/>
    <xf numFmtId="167" fontId="1" fillId="0" borderId="11" xfId="3" applyNumberFormat="1" applyFont="1" applyBorder="1"/>
    <xf numFmtId="43" fontId="1" fillId="0" borderId="0" xfId="0" applyNumberFormat="1" applyFont="1" applyBorder="1"/>
    <xf numFmtId="43" fontId="1" fillId="0" borderId="11" xfId="0" applyNumberFormat="1" applyFont="1" applyBorder="1"/>
    <xf numFmtId="173" fontId="1" fillId="0" borderId="0" xfId="0" applyNumberFormat="1" applyFont="1" applyFill="1"/>
    <xf numFmtId="173" fontId="1" fillId="0" borderId="1" xfId="0" applyNumberFormat="1" applyFont="1" applyFill="1" applyBorder="1" applyProtection="1"/>
    <xf numFmtId="0" fontId="16" fillId="0" borderId="0" xfId="0" applyFont="1"/>
    <xf numFmtId="0" fontId="16" fillId="0" borderId="0" xfId="0" applyFont="1" applyAlignment="1">
      <alignment horizontal="left"/>
    </xf>
    <xf numFmtId="173" fontId="16" fillId="0" borderId="0" xfId="0" applyNumberFormat="1" applyFont="1" applyProtection="1"/>
    <xf numFmtId="173" fontId="16" fillId="0" borderId="0" xfId="0" applyNumberFormat="1" applyFont="1" applyBorder="1" applyProtection="1"/>
    <xf numFmtId="170" fontId="16" fillId="0" borderId="0" xfId="0" applyNumberFormat="1" applyFont="1" applyFill="1" applyProtection="1"/>
    <xf numFmtId="0" fontId="16" fillId="0" borderId="0" xfId="0" applyFont="1" applyFill="1"/>
    <xf numFmtId="0" fontId="16" fillId="0" borderId="0" xfId="0" applyFont="1" applyBorder="1" applyProtection="1"/>
    <xf numFmtId="167" fontId="1" fillId="0" borderId="12" xfId="0" applyNumberFormat="1" applyFont="1" applyBorder="1"/>
    <xf numFmtId="0" fontId="1" fillId="0" borderId="1" xfId="0" applyFont="1" applyBorder="1"/>
    <xf numFmtId="41" fontId="1" fillId="0" borderId="1" xfId="0" applyNumberFormat="1" applyFont="1" applyBorder="1"/>
    <xf numFmtId="43" fontId="1" fillId="0" borderId="1" xfId="0" applyNumberFormat="1" applyFont="1" applyBorder="1"/>
    <xf numFmtId="43" fontId="1" fillId="0" borderId="13" xfId="0" applyNumberFormat="1" applyFont="1" applyBorder="1"/>
    <xf numFmtId="167" fontId="1" fillId="0" borderId="12" xfId="3" applyNumberFormat="1" applyFont="1" applyBorder="1"/>
    <xf numFmtId="167" fontId="1" fillId="0" borderId="1" xfId="3" applyNumberFormat="1" applyFont="1" applyBorder="1"/>
    <xf numFmtId="167" fontId="1" fillId="0" borderId="13" xfId="3" applyNumberFormat="1" applyFont="1" applyBorder="1"/>
    <xf numFmtId="167" fontId="1" fillId="0" borderId="0" xfId="0" applyNumberFormat="1" applyFont="1" applyProtection="1"/>
    <xf numFmtId="170" fontId="16" fillId="0" borderId="0" xfId="0" applyNumberFormat="1" applyFont="1" applyProtection="1"/>
    <xf numFmtId="14" fontId="1" fillId="0" borderId="0" xfId="0" applyNumberFormat="1" applyFont="1" applyProtection="1"/>
    <xf numFmtId="0" fontId="3" fillId="0" borderId="0" xfId="0" applyFont="1" applyAlignment="1">
      <alignment horizontal="left"/>
    </xf>
    <xf numFmtId="0" fontId="3" fillId="0" borderId="0" xfId="0" applyFont="1" applyProtection="1"/>
    <xf numFmtId="0" fontId="2" fillId="0" borderId="0" xfId="0" applyFont="1" applyAlignment="1">
      <alignment horizontal="left"/>
    </xf>
    <xf numFmtId="167" fontId="16" fillId="0" borderId="1" xfId="0" applyNumberFormat="1" applyFont="1" applyBorder="1" applyAlignment="1">
      <alignment horizontal="center"/>
    </xf>
    <xf numFmtId="167" fontId="16" fillId="0" borderId="13" xfId="0" applyNumberFormat="1" applyFont="1" applyBorder="1" applyAlignment="1">
      <alignment horizontal="center"/>
    </xf>
    <xf numFmtId="167" fontId="16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right"/>
    </xf>
    <xf numFmtId="42" fontId="1" fillId="0" borderId="0" xfId="0" applyNumberFormat="1" applyFont="1" applyFill="1" applyBorder="1"/>
    <xf numFmtId="168" fontId="1" fillId="0" borderId="10" xfId="0" applyNumberFormat="1" applyFont="1" applyFill="1" applyBorder="1"/>
    <xf numFmtId="168" fontId="1" fillId="0" borderId="0" xfId="0" applyNumberFormat="1" applyFont="1" applyFill="1" applyBorder="1"/>
    <xf numFmtId="168" fontId="1" fillId="0" borderId="11" xfId="0" applyNumberFormat="1" applyFont="1" applyFill="1" applyBorder="1"/>
    <xf numFmtId="167" fontId="3" fillId="0" borderId="0" xfId="0" applyNumberFormat="1" applyFont="1"/>
    <xf numFmtId="41" fontId="1" fillId="0" borderId="0" xfId="0" applyNumberFormat="1" applyFont="1" applyFill="1" applyBorder="1"/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0" fontId="1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left"/>
    </xf>
    <xf numFmtId="171" fontId="1" fillId="0" borderId="0" xfId="0" applyNumberFormat="1" applyFont="1" applyFill="1" applyBorder="1" applyProtection="1">
      <protection locked="0"/>
    </xf>
    <xf numFmtId="174" fontId="19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/>
    <xf numFmtId="17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7" fontId="1" fillId="0" borderId="0" xfId="0" applyNumberFormat="1" applyFont="1"/>
    <xf numFmtId="173" fontId="1" fillId="0" borderId="0" xfId="0" applyNumberFormat="1" applyFont="1" applyFill="1" applyBorder="1" applyProtection="1">
      <protection hidden="1"/>
    </xf>
    <xf numFmtId="175" fontId="16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0" fillId="0" borderId="0" xfId="0" applyFill="1"/>
    <xf numFmtId="22" fontId="21" fillId="0" borderId="14" xfId="0" applyNumberFormat="1" applyFont="1" applyFill="1" applyBorder="1" applyAlignment="1">
      <alignment horizontal="center"/>
    </xf>
    <xf numFmtId="0" fontId="22" fillId="0" borderId="0" xfId="0" applyFont="1" applyFill="1"/>
    <xf numFmtId="0" fontId="2" fillId="0" borderId="0" xfId="0" applyFont="1" applyFill="1" applyAlignment="1">
      <alignment horizontal="left"/>
    </xf>
    <xf numFmtId="0" fontId="3" fillId="0" borderId="3" xfId="0" applyFont="1" applyFill="1" applyBorder="1"/>
    <xf numFmtId="0" fontId="0" fillId="0" borderId="3" xfId="0" applyFill="1" applyBorder="1"/>
    <xf numFmtId="39" fontId="0" fillId="0" borderId="3" xfId="0" applyNumberFormat="1" applyFill="1" applyBorder="1"/>
    <xf numFmtId="173" fontId="23" fillId="0" borderId="0" xfId="0" applyNumberFormat="1" applyFont="1" applyFill="1"/>
    <xf numFmtId="0" fontId="3" fillId="0" borderId="0" xfId="0" applyFont="1" applyFill="1" applyBorder="1"/>
    <xf numFmtId="39" fontId="0" fillId="0" borderId="0" xfId="0" applyNumberFormat="1" applyFill="1" applyBorder="1"/>
    <xf numFmtId="0" fontId="4" fillId="2" borderId="7" xfId="0" applyFont="1" applyFill="1" applyBorder="1"/>
    <xf numFmtId="0" fontId="17" fillId="2" borderId="8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1" fillId="0" borderId="4" xfId="0" applyFont="1" applyFill="1" applyBorder="1"/>
    <xf numFmtId="0" fontId="24" fillId="0" borderId="2" xfId="0" applyFont="1" applyBorder="1"/>
    <xf numFmtId="0" fontId="19" fillId="0" borderId="2" xfId="4" applyFont="1" applyBorder="1" applyAlignment="1">
      <alignment horizontal="left"/>
    </xf>
    <xf numFmtId="0" fontId="24" fillId="0" borderId="5" xfId="0" applyFont="1" applyBorder="1"/>
    <xf numFmtId="0" fontId="1" fillId="0" borderId="2" xfId="0" applyFont="1" applyFill="1" applyBorder="1"/>
    <xf numFmtId="44" fontId="19" fillId="0" borderId="2" xfId="4" applyNumberFormat="1" applyFont="1" applyBorder="1" applyAlignment="1">
      <alignment horizontal="left"/>
    </xf>
    <xf numFmtId="0" fontId="1" fillId="0" borderId="10" xfId="0" applyFont="1" applyFill="1" applyBorder="1"/>
    <xf numFmtId="0" fontId="24" fillId="0" borderId="0" xfId="0" applyFont="1" applyBorder="1"/>
    <xf numFmtId="0" fontId="19" fillId="0" borderId="0" xfId="0" applyFont="1" applyBorder="1" applyAlignment="1">
      <alignment horizontal="left"/>
    </xf>
    <xf numFmtId="0" fontId="24" fillId="0" borderId="11" xfId="0" applyFont="1" applyBorder="1"/>
    <xf numFmtId="165" fontId="19" fillId="0" borderId="0" xfId="1" applyNumberFormat="1" applyFont="1" applyBorder="1" applyAlignment="1">
      <alignment horizontal="left"/>
    </xf>
    <xf numFmtId="0" fontId="25" fillId="0" borderId="0" xfId="0" applyFont="1" applyBorder="1"/>
    <xf numFmtId="14" fontId="19" fillId="0" borderId="0" xfId="0" applyNumberFormat="1" applyFont="1" applyBorder="1" applyAlignment="1">
      <alignment horizontal="left"/>
    </xf>
    <xf numFmtId="164" fontId="19" fillId="0" borderId="0" xfId="4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left"/>
    </xf>
    <xf numFmtId="0" fontId="24" fillId="0" borderId="11" xfId="0" applyFont="1" applyFill="1" applyBorder="1"/>
    <xf numFmtId="44" fontId="19" fillId="0" borderId="0" xfId="4" applyNumberFormat="1" applyFont="1" applyBorder="1" applyAlignment="1">
      <alignment horizontal="left"/>
    </xf>
    <xf numFmtId="172" fontId="19" fillId="0" borderId="0" xfId="1" applyNumberFormat="1" applyFont="1" applyBorder="1" applyAlignment="1">
      <alignment horizontal="left"/>
    </xf>
    <xf numFmtId="0" fontId="24" fillId="0" borderId="1" xfId="0" applyFont="1" applyBorder="1"/>
    <xf numFmtId="0" fontId="25" fillId="0" borderId="1" xfId="0" applyFont="1" applyBorder="1"/>
    <xf numFmtId="0" fontId="24" fillId="0" borderId="13" xfId="0" applyFont="1" applyBorder="1"/>
    <xf numFmtId="0" fontId="1" fillId="0" borderId="1" xfId="0" applyFont="1" applyFill="1" applyBorder="1"/>
    <xf numFmtId="44" fontId="19" fillId="0" borderId="1" xfId="4" applyNumberFormat="1" applyFont="1" applyBorder="1" applyAlignment="1">
      <alignment horizontal="left"/>
    </xf>
    <xf numFmtId="0" fontId="26" fillId="0" borderId="0" xfId="0" applyFont="1" applyFill="1"/>
    <xf numFmtId="7" fontId="0" fillId="0" borderId="0" xfId="0" applyNumberFormat="1" applyFill="1"/>
    <xf numFmtId="0" fontId="0" fillId="0" borderId="0" xfId="0" quotePrefix="1" applyFill="1" applyAlignment="1">
      <alignment horizontal="center"/>
    </xf>
    <xf numFmtId="0" fontId="4" fillId="2" borderId="15" xfId="0" applyFont="1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169" fontId="2" fillId="0" borderId="2" xfId="0" applyNumberFormat="1" applyFont="1" applyFill="1" applyBorder="1"/>
    <xf numFmtId="169" fontId="2" fillId="0" borderId="5" xfId="0" applyNumberFormat="1" applyFont="1" applyFill="1" applyBorder="1"/>
    <xf numFmtId="169" fontId="2" fillId="0" borderId="0" xfId="0" applyNumberFormat="1" applyFont="1" applyFill="1"/>
    <xf numFmtId="0" fontId="1" fillId="0" borderId="0" xfId="0" quotePrefix="1" applyFont="1" applyFill="1" applyBorder="1"/>
    <xf numFmtId="0" fontId="1" fillId="0" borderId="11" xfId="0" quotePrefix="1" applyFont="1" applyFill="1" applyBorder="1"/>
    <xf numFmtId="0" fontId="27" fillId="0" borderId="0" xfId="0" applyFont="1" applyFill="1"/>
    <xf numFmtId="0" fontId="28" fillId="0" borderId="0" xfId="0" applyFont="1" applyFill="1"/>
    <xf numFmtId="164" fontId="19" fillId="0" borderId="0" xfId="0" applyNumberFormat="1" applyFont="1" applyFill="1" applyBorder="1"/>
    <xf numFmtId="164" fontId="19" fillId="0" borderId="11" xfId="0" applyNumberFormat="1" applyFont="1" applyFill="1" applyBorder="1"/>
    <xf numFmtId="164" fontId="0" fillId="0" borderId="0" xfId="0" applyNumberFormat="1"/>
    <xf numFmtId="171" fontId="3" fillId="0" borderId="0" xfId="0" applyNumberFormat="1" applyFont="1" applyFill="1"/>
    <xf numFmtId="39" fontId="0" fillId="0" borderId="0" xfId="0" applyNumberFormat="1" applyFill="1"/>
    <xf numFmtId="0" fontId="10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29" fillId="0" borderId="0" xfId="0" applyFont="1"/>
    <xf numFmtId="167" fontId="3" fillId="0" borderId="0" xfId="0" applyNumberFormat="1" applyFont="1" applyFill="1" applyBorder="1"/>
    <xf numFmtId="167" fontId="3" fillId="0" borderId="11" xfId="0" applyNumberFormat="1" applyFont="1" applyFill="1" applyBorder="1"/>
    <xf numFmtId="167" fontId="3" fillId="0" borderId="0" xfId="0" applyNumberFormat="1" applyFont="1" applyFill="1"/>
    <xf numFmtId="165" fontId="19" fillId="0" borderId="0" xfId="0" applyNumberFormat="1" applyFont="1" applyFill="1" applyBorder="1"/>
    <xf numFmtId="165" fontId="19" fillId="0" borderId="13" xfId="0" applyNumberFormat="1" applyFont="1" applyFill="1" applyBorder="1"/>
    <xf numFmtId="165" fontId="0" fillId="0" borderId="0" xfId="0" applyNumberFormat="1"/>
    <xf numFmtId="176" fontId="31" fillId="0" borderId="0" xfId="0" applyNumberFormat="1" applyFont="1" applyFill="1"/>
    <xf numFmtId="165" fontId="0" fillId="0" borderId="2" xfId="0" applyNumberFormat="1" applyBorder="1"/>
    <xf numFmtId="165" fontId="0" fillId="0" borderId="5" xfId="0" applyNumberFormat="1" applyBorder="1"/>
    <xf numFmtId="0" fontId="22" fillId="0" borderId="0" xfId="0" applyFont="1"/>
    <xf numFmtId="39" fontId="0" fillId="0" borderId="0" xfId="0" applyNumberFormat="1"/>
    <xf numFmtId="0" fontId="3" fillId="0" borderId="0" xfId="0" applyFont="1" applyFill="1"/>
    <xf numFmtId="167" fontId="3" fillId="0" borderId="0" xfId="0" applyNumberFormat="1" applyFont="1" applyBorder="1"/>
    <xf numFmtId="167" fontId="3" fillId="0" borderId="11" xfId="0" applyNumberFormat="1" applyFont="1" applyBorder="1"/>
    <xf numFmtId="165" fontId="0" fillId="0" borderId="0" xfId="0" applyNumberFormat="1" applyBorder="1"/>
    <xf numFmtId="165" fontId="1" fillId="0" borderId="11" xfId="0" quotePrefix="1" applyNumberFormat="1" applyFont="1" applyBorder="1"/>
    <xf numFmtId="165" fontId="0" fillId="0" borderId="10" xfId="0" applyNumberFormat="1" applyBorder="1"/>
    <xf numFmtId="173" fontId="27" fillId="0" borderId="0" xfId="0" applyNumberFormat="1" applyFont="1" applyFill="1"/>
    <xf numFmtId="165" fontId="1" fillId="0" borderId="0" xfId="0" applyNumberFormat="1" applyFont="1" applyFill="1" applyBorder="1"/>
    <xf numFmtId="165" fontId="1" fillId="0" borderId="10" xfId="0" applyNumberFormat="1" applyFont="1" applyFill="1" applyBorder="1"/>
    <xf numFmtId="165" fontId="19" fillId="0" borderId="1" xfId="0" applyNumberFormat="1" applyFont="1" applyFill="1" applyBorder="1"/>
    <xf numFmtId="165" fontId="1" fillId="0" borderId="12" xfId="0" applyNumberFormat="1" applyFont="1" applyFill="1" applyBorder="1"/>
    <xf numFmtId="165" fontId="1" fillId="0" borderId="1" xfId="0" applyNumberFormat="1" applyFont="1" applyFill="1" applyBorder="1"/>
    <xf numFmtId="165" fontId="0" fillId="0" borderId="11" xfId="0" applyNumberFormat="1" applyBorder="1"/>
    <xf numFmtId="173" fontId="22" fillId="0" borderId="0" xfId="0" applyNumberFormat="1" applyFont="1" applyFill="1"/>
    <xf numFmtId="173" fontId="0" fillId="0" borderId="0" xfId="0" applyNumberFormat="1"/>
    <xf numFmtId="0" fontId="2" fillId="0" borderId="0" xfId="0" applyFont="1" applyFill="1" applyAlignment="1">
      <alignment horizontal="center"/>
    </xf>
    <xf numFmtId="165" fontId="32" fillId="0" borderId="0" xfId="0" applyNumberFormat="1" applyFont="1" applyAlignment="1">
      <alignment horizontal="center" vertical="center"/>
    </xf>
    <xf numFmtId="165" fontId="19" fillId="0" borderId="11" xfId="0" applyNumberFormat="1" applyFont="1" applyFill="1" applyBorder="1"/>
    <xf numFmtId="165" fontId="1" fillId="0" borderId="0" xfId="0" applyNumberFormat="1" applyFont="1" applyFill="1"/>
    <xf numFmtId="0" fontId="33" fillId="0" borderId="0" xfId="0" applyFont="1" applyFill="1" applyAlignment="1">
      <alignment horizontal="center"/>
    </xf>
    <xf numFmtId="173" fontId="19" fillId="0" borderId="0" xfId="0" applyNumberFormat="1" applyFont="1" applyFill="1" applyBorder="1"/>
    <xf numFmtId="166" fontId="1" fillId="0" borderId="0" xfId="0" applyNumberFormat="1" applyFont="1" applyFill="1" applyBorder="1"/>
    <xf numFmtId="166" fontId="1" fillId="0" borderId="13" xfId="0" applyNumberFormat="1" applyFont="1" applyFill="1" applyBorder="1"/>
    <xf numFmtId="165" fontId="16" fillId="0" borderId="2" xfId="0" applyNumberFormat="1" applyFont="1" applyBorder="1"/>
    <xf numFmtId="165" fontId="16" fillId="0" borderId="5" xfId="0" applyNumberFormat="1" applyFont="1" applyBorder="1"/>
    <xf numFmtId="0" fontId="34" fillId="0" borderId="0" xfId="0" applyFont="1" applyFill="1"/>
    <xf numFmtId="165" fontId="16" fillId="0" borderId="0" xfId="0" applyNumberFormat="1" applyFont="1" applyBorder="1"/>
    <xf numFmtId="165" fontId="16" fillId="0" borderId="11" xfId="0" applyNumberFormat="1" applyFont="1" applyBorder="1"/>
    <xf numFmtId="171" fontId="16" fillId="0" borderId="0" xfId="0" applyNumberFormat="1" applyFont="1" applyFill="1"/>
    <xf numFmtId="165" fontId="35" fillId="0" borderId="0" xfId="0" applyNumberFormat="1" applyFont="1" applyFill="1" applyBorder="1"/>
    <xf numFmtId="165" fontId="35" fillId="0" borderId="11" xfId="0" applyNumberFormat="1" applyFont="1" applyFill="1" applyBorder="1"/>
    <xf numFmtId="165" fontId="1" fillId="0" borderId="0" xfId="0" applyNumberFormat="1" applyFont="1" applyBorder="1"/>
    <xf numFmtId="177" fontId="26" fillId="0" borderId="0" xfId="0" applyNumberFormat="1" applyFont="1" applyFill="1" applyBorder="1"/>
    <xf numFmtId="0" fontId="0" fillId="0" borderId="11" xfId="0" applyFill="1" applyBorder="1"/>
    <xf numFmtId="7" fontId="36" fillId="0" borderId="0" xfId="0" applyNumberFormat="1" applyFont="1" applyFill="1" applyAlignment="1">
      <alignment horizontal="right"/>
    </xf>
    <xf numFmtId="7" fontId="16" fillId="0" borderId="0" xfId="0" applyNumberFormat="1" applyFont="1" applyFill="1"/>
    <xf numFmtId="0" fontId="2" fillId="0" borderId="0" xfId="0" applyFont="1" applyFill="1"/>
    <xf numFmtId="0" fontId="0" fillId="0" borderId="0" xfId="0" applyBorder="1"/>
    <xf numFmtId="0" fontId="0" fillId="0" borderId="11" xfId="0" applyBorder="1"/>
    <xf numFmtId="171" fontId="0" fillId="0" borderId="0" xfId="0" applyNumberFormat="1"/>
    <xf numFmtId="176" fontId="2" fillId="0" borderId="0" xfId="0" applyNumberFormat="1" applyFont="1" applyFill="1"/>
    <xf numFmtId="167" fontId="1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/>
    <xf numFmtId="167" fontId="0" fillId="0" borderId="11" xfId="0" applyNumberFormat="1" applyFill="1" applyBorder="1"/>
    <xf numFmtId="167" fontId="19" fillId="0" borderId="0" xfId="0" applyNumberFormat="1" applyFont="1" applyFill="1"/>
    <xf numFmtId="176" fontId="19" fillId="0" borderId="0" xfId="0" applyNumberFormat="1" applyFont="1" applyFill="1"/>
    <xf numFmtId="167" fontId="0" fillId="0" borderId="0" xfId="0" applyNumberFormat="1" applyBorder="1"/>
    <xf numFmtId="167" fontId="0" fillId="0" borderId="11" xfId="0" applyNumberFormat="1" applyBorder="1"/>
    <xf numFmtId="171" fontId="19" fillId="0" borderId="0" xfId="0" applyNumberFormat="1" applyFont="1" applyFill="1"/>
    <xf numFmtId="167" fontId="19" fillId="0" borderId="0" xfId="0" applyNumberFormat="1" applyFont="1" applyFill="1" applyBorder="1"/>
    <xf numFmtId="167" fontId="19" fillId="0" borderId="11" xfId="0" applyNumberFormat="1" applyFont="1" applyFill="1" applyBorder="1"/>
    <xf numFmtId="167" fontId="1" fillId="0" borderId="0" xfId="0" applyNumberFormat="1" applyFont="1" applyFill="1"/>
    <xf numFmtId="178" fontId="37" fillId="0" borderId="0" xfId="0" quotePrefix="1" applyNumberFormat="1" applyFont="1" applyFill="1" applyBorder="1"/>
    <xf numFmtId="0" fontId="27" fillId="0" borderId="0" xfId="0" applyFont="1" applyFill="1" applyBorder="1"/>
    <xf numFmtId="0" fontId="34" fillId="0" borderId="0" xfId="0" applyFont="1" applyFill="1" applyBorder="1"/>
    <xf numFmtId="0" fontId="0" fillId="3" borderId="0" xfId="0" applyFill="1"/>
    <xf numFmtId="0" fontId="38" fillId="3" borderId="0" xfId="4" applyFont="1" applyFill="1" applyAlignment="1">
      <alignment horizontal="centerContinuous"/>
    </xf>
    <xf numFmtId="0" fontId="29" fillId="3" borderId="0" xfId="4" applyFont="1" applyFill="1"/>
    <xf numFmtId="0" fontId="39" fillId="3" borderId="0" xfId="4" applyFont="1" applyFill="1" applyAlignment="1">
      <alignment horizontal="left"/>
    </xf>
    <xf numFmtId="165" fontId="39" fillId="3" borderId="0" xfId="5" applyNumberFormat="1" applyFont="1" applyFill="1" applyAlignment="1"/>
    <xf numFmtId="0" fontId="40" fillId="3" borderId="0" xfId="0" applyFont="1" applyFill="1"/>
    <xf numFmtId="0" fontId="41" fillId="3" borderId="4" xfId="4" applyFont="1" applyFill="1" applyBorder="1" applyAlignment="1"/>
    <xf numFmtId="165" fontId="29" fillId="3" borderId="2" xfId="5" applyNumberFormat="1" applyFont="1" applyFill="1" applyBorder="1" applyAlignment="1"/>
    <xf numFmtId="0" fontId="15" fillId="3" borderId="2" xfId="4" applyFont="1" applyFill="1" applyBorder="1"/>
    <xf numFmtId="0" fontId="41" fillId="3" borderId="2" xfId="4" applyFont="1" applyFill="1" applyBorder="1" applyAlignment="1"/>
    <xf numFmtId="165" fontId="29" fillId="3" borderId="5" xfId="5" applyNumberFormat="1" applyFont="1" applyFill="1" applyBorder="1" applyAlignment="1"/>
    <xf numFmtId="0" fontId="29" fillId="3" borderId="10" xfId="4" applyFont="1" applyFill="1" applyBorder="1" applyAlignment="1"/>
    <xf numFmtId="10" fontId="42" fillId="3" borderId="0" xfId="4" applyNumberFormat="1" applyFont="1" applyFill="1" applyBorder="1" applyAlignment="1"/>
    <xf numFmtId="0" fontId="15" fillId="3" borderId="0" xfId="4" applyFont="1" applyFill="1" applyBorder="1"/>
    <xf numFmtId="0" fontId="29" fillId="3" borderId="0" xfId="4" applyFont="1" applyFill="1" applyBorder="1" applyAlignment="1"/>
    <xf numFmtId="165" fontId="29" fillId="3" borderId="11" xfId="5" applyNumberFormat="1" applyFont="1" applyFill="1" applyBorder="1" applyAlignment="1"/>
    <xf numFmtId="0" fontId="29" fillId="3" borderId="0" xfId="4" applyFont="1" applyFill="1" applyAlignment="1"/>
    <xf numFmtId="0" fontId="42" fillId="3" borderId="0" xfId="4" applyFont="1" applyFill="1" applyBorder="1" applyAlignment="1"/>
    <xf numFmtId="165" fontId="29" fillId="3" borderId="13" xfId="5" applyNumberFormat="1" applyFont="1" applyFill="1" applyBorder="1" applyAlignment="1"/>
    <xf numFmtId="167" fontId="42" fillId="3" borderId="1" xfId="4" applyNumberFormat="1" applyFont="1" applyFill="1" applyBorder="1" applyAlignment="1"/>
    <xf numFmtId="9" fontId="15" fillId="3" borderId="0" xfId="4" applyNumberFormat="1" applyFont="1" applyFill="1" applyBorder="1"/>
    <xf numFmtId="167" fontId="29" fillId="3" borderId="0" xfId="4" applyNumberFormat="1" applyFont="1" applyFill="1" applyBorder="1" applyAlignment="1"/>
    <xf numFmtId="167" fontId="29" fillId="3" borderId="11" xfId="4" applyNumberFormat="1" applyFont="1" applyFill="1" applyBorder="1" applyAlignment="1"/>
    <xf numFmtId="0" fontId="29" fillId="3" borderId="11" xfId="4" applyFont="1" applyFill="1" applyBorder="1" applyAlignment="1"/>
    <xf numFmtId="0" fontId="41" fillId="3" borderId="10" xfId="4" applyFont="1" applyFill="1" applyBorder="1" applyAlignment="1"/>
    <xf numFmtId="0" fontId="41" fillId="3" borderId="0" xfId="4" applyFont="1" applyFill="1" applyBorder="1" applyAlignment="1"/>
    <xf numFmtId="167" fontId="42" fillId="3" borderId="0" xfId="4" applyNumberFormat="1" applyFont="1" applyFill="1" applyBorder="1" applyAlignment="1"/>
    <xf numFmtId="167" fontId="29" fillId="3" borderId="1" xfId="4" applyNumberFormat="1" applyFont="1" applyFill="1" applyBorder="1" applyAlignment="1"/>
    <xf numFmtId="167" fontId="29" fillId="3" borderId="13" xfId="4" applyNumberFormat="1" applyFont="1" applyFill="1" applyBorder="1" applyAlignment="1"/>
    <xf numFmtId="0" fontId="29" fillId="3" borderId="12" xfId="4" applyFont="1" applyFill="1" applyBorder="1" applyAlignment="1"/>
    <xf numFmtId="0" fontId="29" fillId="3" borderId="1" xfId="4" applyFont="1" applyFill="1" applyBorder="1" applyAlignment="1"/>
    <xf numFmtId="0" fontId="39" fillId="3" borderId="1" xfId="4" applyFont="1" applyFill="1" applyBorder="1" applyAlignment="1"/>
    <xf numFmtId="167" fontId="39" fillId="3" borderId="13" xfId="4" applyNumberFormat="1" applyFont="1" applyFill="1" applyBorder="1" applyAlignment="1"/>
    <xf numFmtId="0" fontId="0" fillId="0" borderId="0" xfId="0" applyFont="1" applyFill="1"/>
    <xf numFmtId="0" fontId="0" fillId="0" borderId="1" xfId="0" applyFill="1" applyBorder="1" applyAlignment="1">
      <alignment horizontal="left"/>
    </xf>
    <xf numFmtId="0" fontId="0" fillId="0" borderId="12" xfId="0" applyFont="1" applyFill="1" applyBorder="1"/>
    <xf numFmtId="167" fontId="19" fillId="0" borderId="1" xfId="0" applyNumberFormat="1" applyFont="1" applyBorder="1" applyAlignment="1">
      <alignment horizontal="left"/>
    </xf>
    <xf numFmtId="43" fontId="1" fillId="0" borderId="0" xfId="4" applyNumberFormat="1" applyFont="1"/>
    <xf numFmtId="9" fontId="5" fillId="0" borderId="0" xfId="4" applyNumberFormat="1" applyFont="1"/>
    <xf numFmtId="9" fontId="57" fillId="0" borderId="0" xfId="4" applyNumberFormat="1" applyFont="1" applyFill="1" applyAlignment="1">
      <alignment horizontal="right"/>
    </xf>
    <xf numFmtId="0" fontId="0" fillId="0" borderId="0" xfId="0" applyFont="1" applyFill="1" applyBorder="1"/>
    <xf numFmtId="0" fontId="47" fillId="7" borderId="4" xfId="4" applyFont="1" applyFill="1" applyBorder="1" applyAlignment="1"/>
    <xf numFmtId="0" fontId="47" fillId="7" borderId="2" xfId="4" applyFont="1" applyFill="1" applyBorder="1" applyAlignment="1"/>
    <xf numFmtId="0" fontId="47" fillId="7" borderId="5" xfId="4" applyFont="1" applyFill="1" applyBorder="1" applyAlignment="1"/>
    <xf numFmtId="0" fontId="58" fillId="0" borderId="0" xfId="10" applyFont="1" applyAlignment="1"/>
    <xf numFmtId="0" fontId="47" fillId="0" borderId="10" xfId="4" applyFont="1" applyFill="1" applyBorder="1" applyAlignment="1"/>
    <xf numFmtId="0" fontId="47" fillId="0" borderId="0" xfId="4" applyFont="1" applyFill="1" applyBorder="1" applyAlignment="1"/>
    <xf numFmtId="0" fontId="47" fillId="0" borderId="11" xfId="4" applyFont="1" applyFill="1" applyBorder="1" applyAlignment="1"/>
    <xf numFmtId="0" fontId="58" fillId="0" borderId="0" xfId="10" applyFont="1" applyFill="1" applyAlignment="1"/>
    <xf numFmtId="0" fontId="1" fillId="0" borderId="0" xfId="4" applyFont="1" applyFill="1"/>
    <xf numFmtId="0" fontId="1" fillId="0" borderId="10" xfId="4" applyFont="1" applyBorder="1"/>
    <xf numFmtId="0" fontId="16" fillId="0" borderId="0" xfId="4" applyFont="1" applyBorder="1"/>
    <xf numFmtId="0" fontId="1" fillId="0" borderId="0" xfId="4" applyFont="1" applyBorder="1"/>
    <xf numFmtId="0" fontId="16" fillId="0" borderId="1" xfId="4" applyFont="1" applyBorder="1" applyAlignment="1">
      <alignment horizontal="centerContinuous"/>
    </xf>
    <xf numFmtId="0" fontId="1" fillId="0" borderId="1" xfId="4" applyFont="1" applyBorder="1" applyAlignment="1">
      <alignment horizontal="centerContinuous"/>
    </xf>
    <xf numFmtId="0" fontId="1" fillId="0" borderId="11" xfId="4" applyFont="1" applyBorder="1"/>
    <xf numFmtId="0" fontId="16" fillId="0" borderId="0" xfId="4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6" fillId="0" borderId="7" xfId="4" applyFont="1" applyBorder="1" applyAlignment="1">
      <alignment horizontal="centerContinuous"/>
    </xf>
    <xf numFmtId="0" fontId="1" fillId="0" borderId="9" xfId="4" applyFont="1" applyBorder="1" applyAlignment="1">
      <alignment horizontal="centerContinuous"/>
    </xf>
    <xf numFmtId="0" fontId="16" fillId="0" borderId="15" xfId="4" applyFont="1" applyFill="1" applyBorder="1" applyAlignment="1">
      <alignment horizontal="center"/>
    </xf>
    <xf numFmtId="0" fontId="59" fillId="0" borderId="10" xfId="4" applyNumberFormat="1" applyFont="1" applyFill="1" applyBorder="1" applyAlignment="1">
      <alignment horizontal="left" vertical="top" wrapText="1"/>
    </xf>
    <xf numFmtId="14" fontId="59" fillId="0" borderId="0" xfId="4" applyNumberFormat="1" applyFont="1" applyFill="1" applyBorder="1" applyAlignment="1">
      <alignment horizontal="center" vertical="top" wrapText="1"/>
    </xf>
    <xf numFmtId="0" fontId="59" fillId="0" borderId="0" xfId="4" applyNumberFormat="1" applyFont="1" applyFill="1" applyBorder="1" applyAlignment="1">
      <alignment horizontal="center" vertical="top" wrapText="1"/>
    </xf>
    <xf numFmtId="0" fontId="59" fillId="0" borderId="11" xfId="4" applyNumberFormat="1" applyFont="1" applyFill="1" applyBorder="1" applyAlignment="1">
      <alignment horizontal="center" vertical="top" wrapText="1"/>
    </xf>
    <xf numFmtId="0" fontId="0" fillId="0" borderId="0" xfId="4" applyFont="1"/>
    <xf numFmtId="0" fontId="7" fillId="0" borderId="10" xfId="4" applyFont="1" applyFill="1" applyBorder="1" applyAlignment="1">
      <alignment horizontal="left" vertical="top" wrapText="1"/>
    </xf>
    <xf numFmtId="44" fontId="33" fillId="0" borderId="0" xfId="4" applyNumberFormat="1" applyFont="1" applyFill="1" applyBorder="1" applyAlignment="1">
      <alignment horizontal="right" vertical="top" wrapText="1"/>
    </xf>
    <xf numFmtId="44" fontId="33" fillId="0" borderId="0" xfId="4" applyNumberFormat="1" applyFont="1" applyFill="1" applyBorder="1" applyAlignment="1">
      <alignment horizontal="left" vertical="top" wrapText="1"/>
    </xf>
    <xf numFmtId="168" fontId="33" fillId="0" borderId="0" xfId="4" applyNumberFormat="1" applyFont="1" applyBorder="1" applyAlignment="1">
      <alignment horizontal="right" vertical="top" wrapText="1"/>
    </xf>
    <xf numFmtId="168" fontId="1" fillId="0" borderId="11" xfId="4" applyNumberFormat="1" applyFont="1" applyBorder="1" applyAlignment="1">
      <alignment horizontal="right" vertical="top" wrapText="1"/>
    </xf>
    <xf numFmtId="168" fontId="1" fillId="0" borderId="0" xfId="4" applyNumberFormat="1" applyFont="1"/>
    <xf numFmtId="0" fontId="7" fillId="8" borderId="10" xfId="4" applyFont="1" applyFill="1" applyBorder="1" applyAlignment="1">
      <alignment horizontal="left" vertical="top" wrapText="1"/>
    </xf>
    <xf numFmtId="43" fontId="33" fillId="8" borderId="0" xfId="4" applyNumberFormat="1" applyFont="1" applyFill="1" applyBorder="1" applyAlignment="1">
      <alignment horizontal="right" vertical="top" wrapText="1"/>
    </xf>
    <xf numFmtId="165" fontId="33" fillId="8" borderId="0" xfId="4" applyNumberFormat="1" applyFont="1" applyFill="1" applyBorder="1" applyAlignment="1">
      <alignment horizontal="right" vertical="top" wrapText="1"/>
    </xf>
    <xf numFmtId="165" fontId="33" fillId="8" borderId="0" xfId="4" applyNumberFormat="1" applyFont="1" applyFill="1" applyBorder="1" applyAlignment="1">
      <alignment horizontal="left" vertical="top" wrapText="1"/>
    </xf>
    <xf numFmtId="168" fontId="33" fillId="8" borderId="0" xfId="4" applyNumberFormat="1" applyFont="1" applyFill="1" applyBorder="1" applyAlignment="1">
      <alignment horizontal="right" vertical="top" wrapText="1"/>
    </xf>
    <xf numFmtId="168" fontId="1" fillId="8" borderId="11" xfId="4" applyNumberFormat="1" applyFont="1" applyFill="1" applyBorder="1" applyAlignment="1">
      <alignment horizontal="right" vertical="top" wrapText="1"/>
    </xf>
    <xf numFmtId="43" fontId="33" fillId="0" borderId="0" xfId="4" applyNumberFormat="1" applyFont="1" applyFill="1" applyBorder="1" applyAlignment="1">
      <alignment horizontal="right" vertical="top" wrapText="1"/>
    </xf>
    <xf numFmtId="165" fontId="33" fillId="0" borderId="0" xfId="4" applyNumberFormat="1" applyFont="1" applyFill="1" applyBorder="1" applyAlignment="1">
      <alignment horizontal="right" vertical="top" wrapText="1"/>
    </xf>
    <xf numFmtId="165" fontId="33" fillId="0" borderId="0" xfId="4" applyNumberFormat="1" applyFont="1" applyFill="1" applyBorder="1" applyAlignment="1">
      <alignment horizontal="left" vertical="top" wrapText="1"/>
    </xf>
    <xf numFmtId="43" fontId="33" fillId="0" borderId="0" xfId="4" applyNumberFormat="1" applyFont="1" applyFill="1" applyBorder="1" applyAlignment="1">
      <alignment horizontal="left" vertical="top" wrapText="1"/>
    </xf>
    <xf numFmtId="43" fontId="7" fillId="0" borderId="0" xfId="4" applyNumberFormat="1" applyFont="1" applyFill="1" applyBorder="1" applyAlignment="1">
      <alignment horizontal="right" vertical="top" wrapText="1"/>
    </xf>
    <xf numFmtId="165" fontId="7" fillId="0" borderId="0" xfId="4" applyNumberFormat="1" applyFont="1" applyFill="1" applyBorder="1" applyAlignment="1">
      <alignment horizontal="right" vertical="top" wrapText="1"/>
    </xf>
    <xf numFmtId="165" fontId="7" fillId="0" borderId="0" xfId="4" applyNumberFormat="1" applyFont="1" applyFill="1" applyBorder="1" applyAlignment="1">
      <alignment horizontal="left" vertical="top" wrapText="1"/>
    </xf>
    <xf numFmtId="168" fontId="7" fillId="0" borderId="0" xfId="4" applyNumberFormat="1" applyFont="1" applyFill="1" applyBorder="1" applyAlignment="1">
      <alignment horizontal="right" vertical="top" wrapText="1"/>
    </xf>
    <xf numFmtId="168" fontId="16" fillId="0" borderId="11" xfId="4" applyNumberFormat="1" applyFont="1" applyFill="1" applyBorder="1" applyAlignment="1">
      <alignment horizontal="right" vertical="top" wrapText="1"/>
    </xf>
    <xf numFmtId="0" fontId="34" fillId="0" borderId="10" xfId="4" applyFont="1" applyBorder="1" applyAlignment="1">
      <alignment vertical="top" wrapText="1"/>
    </xf>
    <xf numFmtId="0" fontId="34" fillId="0" borderId="0" xfId="4" applyFont="1" applyBorder="1" applyAlignment="1">
      <alignment vertical="top" wrapText="1"/>
    </xf>
    <xf numFmtId="168" fontId="27" fillId="0" borderId="11" xfId="4" applyNumberFormat="1" applyFont="1" applyBorder="1" applyAlignment="1">
      <alignment horizontal="right" vertical="top" wrapText="1"/>
    </xf>
    <xf numFmtId="0" fontId="34" fillId="0" borderId="10" xfId="4" applyFont="1" applyFill="1" applyBorder="1" applyAlignment="1">
      <alignment horizontal="left" vertical="top" wrapText="1"/>
    </xf>
    <xf numFmtId="0" fontId="34" fillId="0" borderId="0" xfId="4" applyFont="1" applyFill="1" applyBorder="1" applyAlignment="1">
      <alignment horizontal="left" vertical="top" wrapText="1"/>
    </xf>
    <xf numFmtId="164" fontId="34" fillId="0" borderId="0" xfId="4" applyNumberFormat="1" applyFont="1" applyFill="1" applyBorder="1" applyAlignment="1">
      <alignment horizontal="right" vertical="top" wrapText="1"/>
    </xf>
    <xf numFmtId="168" fontId="34" fillId="0" borderId="0" xfId="4" applyNumberFormat="1" applyFont="1" applyFill="1" applyBorder="1" applyAlignment="1">
      <alignment horizontal="right" vertical="top" wrapText="1"/>
    </xf>
    <xf numFmtId="168" fontId="34" fillId="0" borderId="11" xfId="4" applyNumberFormat="1" applyFont="1" applyFill="1" applyBorder="1" applyAlignment="1">
      <alignment horizontal="right" vertical="top" wrapText="1"/>
    </xf>
    <xf numFmtId="165" fontId="34" fillId="0" borderId="0" xfId="4" applyNumberFormat="1" applyFont="1" applyFill="1" applyBorder="1" applyAlignment="1">
      <alignment horizontal="right" vertical="top" wrapText="1"/>
    </xf>
    <xf numFmtId="0" fontId="34" fillId="0" borderId="12" xfId="4" applyFont="1" applyFill="1" applyBorder="1" applyAlignment="1">
      <alignment horizontal="left" vertical="top" wrapText="1"/>
    </xf>
    <xf numFmtId="0" fontId="34" fillId="0" borderId="1" xfId="4" applyFont="1" applyFill="1" applyBorder="1" applyAlignment="1">
      <alignment horizontal="left" vertical="top" wrapText="1"/>
    </xf>
    <xf numFmtId="165" fontId="34" fillId="0" borderId="1" xfId="4" applyNumberFormat="1" applyFont="1" applyFill="1" applyBorder="1" applyAlignment="1">
      <alignment horizontal="right" vertical="top" wrapText="1"/>
    </xf>
    <xf numFmtId="168" fontId="34" fillId="0" borderId="1" xfId="4" applyNumberFormat="1" applyFont="1" applyFill="1" applyBorder="1" applyAlignment="1">
      <alignment horizontal="right" vertical="top" wrapText="1"/>
    </xf>
    <xf numFmtId="168" fontId="34" fillId="0" borderId="13" xfId="4" applyNumberFormat="1" applyFont="1" applyFill="1" applyBorder="1" applyAlignment="1">
      <alignment horizontal="right" vertical="top" wrapText="1"/>
    </xf>
    <xf numFmtId="0" fontId="16" fillId="0" borderId="7" xfId="4" applyFont="1" applyFill="1" applyBorder="1" applyAlignment="1">
      <alignment horizontal="centerContinuous"/>
    </xf>
    <xf numFmtId="0" fontId="16" fillId="0" borderId="8" xfId="4" applyFont="1" applyFill="1" applyBorder="1" applyAlignment="1">
      <alignment horizontal="centerContinuous"/>
    </xf>
    <xf numFmtId="0" fontId="16" fillId="0" borderId="9" xfId="4" applyFont="1" applyFill="1" applyBorder="1" applyAlignment="1">
      <alignment horizontal="centerContinuous"/>
    </xf>
    <xf numFmtId="167" fontId="33" fillId="0" borderId="0" xfId="3" applyNumberFormat="1" applyFont="1" applyBorder="1" applyAlignment="1">
      <alignment horizontal="right"/>
    </xf>
    <xf numFmtId="43" fontId="7" fillId="0" borderId="11" xfId="3" applyNumberFormat="1" applyFont="1" applyBorder="1" applyAlignment="1">
      <alignment horizontal="right"/>
    </xf>
    <xf numFmtId="0" fontId="34" fillId="8" borderId="10" xfId="4" applyFont="1" applyFill="1" applyBorder="1" applyAlignment="1">
      <alignment horizontal="left" vertical="top" wrapText="1"/>
    </xf>
    <xf numFmtId="0" fontId="1" fillId="8" borderId="0" xfId="4" applyFont="1" applyFill="1" applyBorder="1"/>
    <xf numFmtId="167" fontId="33" fillId="8" borderId="0" xfId="3" applyNumberFormat="1" applyFont="1" applyFill="1" applyBorder="1" applyAlignment="1">
      <alignment horizontal="right"/>
    </xf>
    <xf numFmtId="43" fontId="7" fillId="8" borderId="11" xfId="3" applyNumberFormat="1" applyFont="1" applyFill="1" applyBorder="1" applyAlignment="1">
      <alignment horizontal="right"/>
    </xf>
    <xf numFmtId="167" fontId="33" fillId="0" borderId="0" xfId="3" applyNumberFormat="1" applyFont="1" applyBorder="1"/>
    <xf numFmtId="167" fontId="33" fillId="0" borderId="11" xfId="3" applyNumberFormat="1" applyFont="1" applyBorder="1"/>
    <xf numFmtId="0" fontId="16" fillId="0" borderId="0" xfId="4" applyFont="1" applyFill="1" applyBorder="1"/>
    <xf numFmtId="167" fontId="7" fillId="0" borderId="0" xfId="3" applyNumberFormat="1" applyFont="1" applyFill="1" applyBorder="1" applyAlignment="1">
      <alignment horizontal="right"/>
    </xf>
    <xf numFmtId="43" fontId="7" fillId="0" borderId="11" xfId="3" applyNumberFormat="1" applyFont="1" applyFill="1" applyBorder="1" applyAlignment="1">
      <alignment horizontal="right"/>
    </xf>
    <xf numFmtId="167" fontId="34" fillId="0" borderId="0" xfId="4" applyNumberFormat="1" applyFont="1" applyBorder="1" applyAlignment="1">
      <alignment vertical="top" wrapText="1"/>
    </xf>
    <xf numFmtId="167" fontId="34" fillId="0" borderId="11" xfId="4" applyNumberFormat="1" applyFont="1" applyBorder="1" applyAlignment="1">
      <alignment vertical="top" wrapText="1"/>
    </xf>
    <xf numFmtId="167" fontId="34" fillId="0" borderId="0" xfId="3" applyNumberFormat="1" applyFont="1" applyFill="1" applyBorder="1" applyAlignment="1">
      <alignment horizontal="right" vertical="top" wrapText="1"/>
    </xf>
    <xf numFmtId="43" fontId="34" fillId="0" borderId="11" xfId="3" applyNumberFormat="1" applyFont="1" applyFill="1" applyBorder="1" applyAlignment="1">
      <alignment horizontal="right" vertical="top" wrapText="1"/>
    </xf>
    <xf numFmtId="0" fontId="16" fillId="0" borderId="1" xfId="4" applyFont="1" applyFill="1" applyBorder="1"/>
    <xf numFmtId="167" fontId="34" fillId="0" borderId="1" xfId="3" applyNumberFormat="1" applyFont="1" applyFill="1" applyBorder="1" applyAlignment="1">
      <alignment horizontal="right" vertical="top" wrapText="1"/>
    </xf>
    <xf numFmtId="43" fontId="34" fillId="0" borderId="13" xfId="3" applyNumberFormat="1" applyFont="1" applyFill="1" applyBorder="1" applyAlignment="1">
      <alignment horizontal="right" vertical="top" wrapText="1"/>
    </xf>
    <xf numFmtId="0" fontId="31" fillId="0" borderId="0" xfId="4" applyFont="1" applyFill="1" applyAlignment="1">
      <alignment horizontal="left" vertical="top"/>
    </xf>
    <xf numFmtId="0" fontId="16" fillId="0" borderId="1" xfId="4" applyFont="1" applyFill="1" applyBorder="1" applyAlignment="1">
      <alignment horizontal="centerContinuous"/>
    </xf>
    <xf numFmtId="0" fontId="1" fillId="0" borderId="1" xfId="4" applyFont="1" applyFill="1" applyBorder="1" applyAlignment="1">
      <alignment horizontal="centerContinuous"/>
    </xf>
    <xf numFmtId="0" fontId="1" fillId="0" borderId="0" xfId="4" applyFont="1" applyFill="1" applyBorder="1"/>
    <xf numFmtId="0" fontId="1" fillId="0" borderId="9" xfId="4" applyFont="1" applyFill="1" applyBorder="1" applyAlignment="1">
      <alignment horizontal="centerContinuous"/>
    </xf>
    <xf numFmtId="0" fontId="1" fillId="0" borderId="10" xfId="4" applyFont="1" applyFill="1" applyBorder="1"/>
    <xf numFmtId="168" fontId="1" fillId="0" borderId="0" xfId="4" applyNumberFormat="1" applyFont="1" applyFill="1" applyBorder="1"/>
    <xf numFmtId="165" fontId="27" fillId="0" borderId="0" xfId="4" applyNumberFormat="1" applyFont="1" applyFill="1" applyBorder="1" applyAlignment="1">
      <alignment horizontal="left" vertical="top" wrapText="1"/>
    </xf>
    <xf numFmtId="0" fontId="0" fillId="0" borderId="10" xfId="4" applyFont="1" applyFill="1" applyBorder="1"/>
    <xf numFmtId="165" fontId="27" fillId="0" borderId="0" xfId="4" applyNumberFormat="1" applyFont="1" applyFill="1" applyBorder="1" applyAlignment="1">
      <alignment horizontal="right" vertical="top" wrapText="1"/>
    </xf>
    <xf numFmtId="0" fontId="16" fillId="0" borderId="10" xfId="4" applyFont="1" applyBorder="1"/>
    <xf numFmtId="44" fontId="34" fillId="0" borderId="0" xfId="4" applyNumberFormat="1" applyFont="1" applyFill="1" applyBorder="1" applyAlignment="1">
      <alignment horizontal="left" vertical="top" wrapText="1"/>
    </xf>
    <xf numFmtId="0" fontId="1" fillId="0" borderId="12" xfId="4" applyFont="1" applyBorder="1"/>
    <xf numFmtId="0" fontId="1" fillId="0" borderId="1" xfId="4" applyFont="1" applyBorder="1"/>
    <xf numFmtId="165" fontId="27" fillId="0" borderId="1" xfId="4" applyNumberFormat="1" applyFont="1" applyFill="1" applyBorder="1" applyAlignment="1">
      <alignment horizontal="left" vertical="top" wrapText="1"/>
    </xf>
    <xf numFmtId="0" fontId="1" fillId="0" borderId="13" xfId="0" applyFont="1" applyBorder="1"/>
    <xf numFmtId="164" fontId="33" fillId="0" borderId="0" xfId="2" applyNumberFormat="1" applyFont="1" applyFill="1" applyBorder="1" applyAlignment="1">
      <alignment horizontal="right" vertical="top" wrapText="1"/>
    </xf>
  </cellXfs>
  <cellStyles count="27">
    <cellStyle name="c_HardInc " xfId="6"/>
    <cellStyle name="ChartingText" xfId="7"/>
    <cellStyle name="ColumnHeaderNormal" xfId="8"/>
    <cellStyle name="Comma" xfId="1" builtinId="3"/>
    <cellStyle name="Comma 2" xfId="5"/>
    <cellStyle name="Currency" xfId="2" builtinId="4"/>
    <cellStyle name="Currency 2" xfId="9"/>
    <cellStyle name="Invisible" xfId="10"/>
    <cellStyle name="NewColumnHeaderNormal" xfId="11"/>
    <cellStyle name="NewSectionHeaderNormal" xfId="12"/>
    <cellStyle name="NewTitleNormal" xfId="13"/>
    <cellStyle name="Normal" xfId="0" builtinId="0"/>
    <cellStyle name="Normal 2" xfId="4"/>
    <cellStyle name="Normal 2 2" xfId="14"/>
    <cellStyle name="Normal 3" xfId="15"/>
    <cellStyle name="Normal 4" xfId="16"/>
    <cellStyle name="Percent" xfId="3" builtinId="5"/>
    <cellStyle name="Percent 2" xfId="17"/>
    <cellStyle name="s_HardInc " xfId="18"/>
    <cellStyle name="SectionHeaderNormal" xfId="19"/>
    <cellStyle name="SubScript" xfId="20"/>
    <cellStyle name="SuperScript" xfId="21"/>
    <cellStyle name="TextBold" xfId="22"/>
    <cellStyle name="TextItalic" xfId="23"/>
    <cellStyle name="TextNormal" xfId="24"/>
    <cellStyle name="TitleNormal" xfId="25"/>
    <cellStyle name="Total 2" xfId="26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11205</xdr:rowOff>
    </xdr:from>
    <xdr:to>
      <xdr:col>8</xdr:col>
      <xdr:colOff>22412</xdr:colOff>
      <xdr:row>40</xdr:row>
      <xdr:rowOff>67235</xdr:rowOff>
    </xdr:to>
    <xdr:cxnSp macro="">
      <xdr:nvCxnSpPr>
        <xdr:cNvPr id="2" name="Straight Connector 1"/>
        <xdr:cNvCxnSpPr/>
      </xdr:nvCxnSpPr>
      <xdr:spPr bwMode="auto">
        <a:xfrm>
          <a:off x="4773706" y="717176"/>
          <a:ext cx="22412" cy="5087471"/>
        </a:xfrm>
        <a:prstGeom prst="line">
          <a:avLst/>
        </a:prstGeom>
        <a:solidFill>
          <a:srgbClr val="FFFFFF"/>
        </a:solidFill>
        <a:ln w="222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14"/>
  <sheetViews>
    <sheetView showGridLines="0" tabSelected="1" workbookViewId="0">
      <selection activeCell="B11" sqref="B11"/>
    </sheetView>
  </sheetViews>
  <sheetFormatPr defaultRowHeight="12.75" x14ac:dyDescent="0.2"/>
  <cols>
    <col min="1" max="1" width="4.5703125" customWidth="1"/>
  </cols>
  <sheetData>
    <row r="2" spans="2:2" x14ac:dyDescent="0.2">
      <c r="B2" s="1" t="s">
        <v>0</v>
      </c>
    </row>
    <row r="3" spans="2:2" x14ac:dyDescent="0.2">
      <c r="B3" s="2" t="s">
        <v>1</v>
      </c>
    </row>
    <row r="4" spans="2:2" x14ac:dyDescent="0.2">
      <c r="B4" s="2" t="s">
        <v>2</v>
      </c>
    </row>
    <row r="5" spans="2:2" x14ac:dyDescent="0.2">
      <c r="B5" s="2" t="s">
        <v>3</v>
      </c>
    </row>
    <row r="6" spans="2:2" x14ac:dyDescent="0.2">
      <c r="B6" s="2" t="s">
        <v>4</v>
      </c>
    </row>
    <row r="7" spans="2:2" x14ac:dyDescent="0.2">
      <c r="B7" s="2" t="s">
        <v>5</v>
      </c>
    </row>
    <row r="8" spans="2:2" x14ac:dyDescent="0.2">
      <c r="B8" s="3"/>
    </row>
    <row r="9" spans="2:2" x14ac:dyDescent="0.2">
      <c r="B9" s="1" t="s">
        <v>6</v>
      </c>
    </row>
    <row r="10" spans="2:2" x14ac:dyDescent="0.2">
      <c r="B10" s="2" t="s">
        <v>7</v>
      </c>
    </row>
    <row r="12" spans="2:2" x14ac:dyDescent="0.2">
      <c r="B12" s="1"/>
    </row>
    <row r="13" spans="2:2" x14ac:dyDescent="0.2">
      <c r="B13" s="2"/>
    </row>
    <row r="14" spans="2:2" x14ac:dyDescent="0.2">
      <c r="B14" s="2"/>
    </row>
  </sheetData>
  <pageMargins left="0.7" right="0.7" top="0.75" bottom="0.75" header="0.3" footer="0.3"/>
  <pageSetup scale="9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K19"/>
  <sheetViews>
    <sheetView showGridLines="0" zoomScale="90" zoomScaleNormal="90" workbookViewId="0">
      <selection activeCell="H5" sqref="H5"/>
    </sheetView>
  </sheetViews>
  <sheetFormatPr defaultRowHeight="12.75" x14ac:dyDescent="0.2"/>
  <cols>
    <col min="1" max="4" width="9.140625" style="6"/>
    <col min="5" max="5" width="10" style="6" bestFit="1" customWidth="1"/>
    <col min="6" max="6" width="9.140625" style="6"/>
    <col min="7" max="7" width="17.85546875" style="6" bestFit="1" customWidth="1"/>
    <col min="8" max="11" width="10" style="6" bestFit="1" customWidth="1"/>
    <col min="12" max="261" width="9.140625" style="6"/>
    <col min="262" max="262" width="17.85546875" style="6" bestFit="1" customWidth="1"/>
    <col min="263" max="263" width="9.140625" style="6" customWidth="1"/>
    <col min="264" max="517" width="9.140625" style="6"/>
    <col min="518" max="518" width="17.85546875" style="6" bestFit="1" customWidth="1"/>
    <col min="519" max="519" width="9.140625" style="6" customWidth="1"/>
    <col min="520" max="773" width="9.140625" style="6"/>
    <col min="774" max="774" width="17.85546875" style="6" bestFit="1" customWidth="1"/>
    <col min="775" max="775" width="9.140625" style="6" customWidth="1"/>
    <col min="776" max="1029" width="9.140625" style="6"/>
    <col min="1030" max="1030" width="17.85546875" style="6" bestFit="1" customWidth="1"/>
    <col min="1031" max="1031" width="9.140625" style="6" customWidth="1"/>
    <col min="1032" max="1285" width="9.140625" style="6"/>
    <col min="1286" max="1286" width="17.85546875" style="6" bestFit="1" customWidth="1"/>
    <col min="1287" max="1287" width="9.140625" style="6" customWidth="1"/>
    <col min="1288" max="1541" width="9.140625" style="6"/>
    <col min="1542" max="1542" width="17.85546875" style="6" bestFit="1" customWidth="1"/>
    <col min="1543" max="1543" width="9.140625" style="6" customWidth="1"/>
    <col min="1544" max="1797" width="9.140625" style="6"/>
    <col min="1798" max="1798" width="17.85546875" style="6" bestFit="1" customWidth="1"/>
    <col min="1799" max="1799" width="9.140625" style="6" customWidth="1"/>
    <col min="1800" max="2053" width="9.140625" style="6"/>
    <col min="2054" max="2054" width="17.85546875" style="6" bestFit="1" customWidth="1"/>
    <col min="2055" max="2055" width="9.140625" style="6" customWidth="1"/>
    <col min="2056" max="2309" width="9.140625" style="6"/>
    <col min="2310" max="2310" width="17.85546875" style="6" bestFit="1" customWidth="1"/>
    <col min="2311" max="2311" width="9.140625" style="6" customWidth="1"/>
    <col min="2312" max="2565" width="9.140625" style="6"/>
    <col min="2566" max="2566" width="17.85546875" style="6" bestFit="1" customWidth="1"/>
    <col min="2567" max="2567" width="9.140625" style="6" customWidth="1"/>
    <col min="2568" max="2821" width="9.140625" style="6"/>
    <col min="2822" max="2822" width="17.85546875" style="6" bestFit="1" customWidth="1"/>
    <col min="2823" max="2823" width="9.140625" style="6" customWidth="1"/>
    <col min="2824" max="3077" width="9.140625" style="6"/>
    <col min="3078" max="3078" width="17.85546875" style="6" bestFit="1" customWidth="1"/>
    <col min="3079" max="3079" width="9.140625" style="6" customWidth="1"/>
    <col min="3080" max="3333" width="9.140625" style="6"/>
    <col min="3334" max="3334" width="17.85546875" style="6" bestFit="1" customWidth="1"/>
    <col min="3335" max="3335" width="9.140625" style="6" customWidth="1"/>
    <col min="3336" max="3589" width="9.140625" style="6"/>
    <col min="3590" max="3590" width="17.85546875" style="6" bestFit="1" customWidth="1"/>
    <col min="3591" max="3591" width="9.140625" style="6" customWidth="1"/>
    <col min="3592" max="3845" width="9.140625" style="6"/>
    <col min="3846" max="3846" width="17.85546875" style="6" bestFit="1" customWidth="1"/>
    <col min="3847" max="3847" width="9.140625" style="6" customWidth="1"/>
    <col min="3848" max="4101" width="9.140625" style="6"/>
    <col min="4102" max="4102" width="17.85546875" style="6" bestFit="1" customWidth="1"/>
    <col min="4103" max="4103" width="9.140625" style="6" customWidth="1"/>
    <col min="4104" max="4357" width="9.140625" style="6"/>
    <col min="4358" max="4358" width="17.85546875" style="6" bestFit="1" customWidth="1"/>
    <col min="4359" max="4359" width="9.140625" style="6" customWidth="1"/>
    <col min="4360" max="4613" width="9.140625" style="6"/>
    <col min="4614" max="4614" width="17.85546875" style="6" bestFit="1" customWidth="1"/>
    <col min="4615" max="4615" width="9.140625" style="6" customWidth="1"/>
    <col min="4616" max="4869" width="9.140625" style="6"/>
    <col min="4870" max="4870" width="17.85546875" style="6" bestFit="1" customWidth="1"/>
    <col min="4871" max="4871" width="9.140625" style="6" customWidth="1"/>
    <col min="4872" max="5125" width="9.140625" style="6"/>
    <col min="5126" max="5126" width="17.85546875" style="6" bestFit="1" customWidth="1"/>
    <col min="5127" max="5127" width="9.140625" style="6" customWidth="1"/>
    <col min="5128" max="5381" width="9.140625" style="6"/>
    <col min="5382" max="5382" width="17.85546875" style="6" bestFit="1" customWidth="1"/>
    <col min="5383" max="5383" width="9.140625" style="6" customWidth="1"/>
    <col min="5384" max="5637" width="9.140625" style="6"/>
    <col min="5638" max="5638" width="17.85546875" style="6" bestFit="1" customWidth="1"/>
    <col min="5639" max="5639" width="9.140625" style="6" customWidth="1"/>
    <col min="5640" max="5893" width="9.140625" style="6"/>
    <col min="5894" max="5894" width="17.85546875" style="6" bestFit="1" customWidth="1"/>
    <col min="5895" max="5895" width="9.140625" style="6" customWidth="1"/>
    <col min="5896" max="6149" width="9.140625" style="6"/>
    <col min="6150" max="6150" width="17.85546875" style="6" bestFit="1" customWidth="1"/>
    <col min="6151" max="6151" width="9.140625" style="6" customWidth="1"/>
    <col min="6152" max="6405" width="9.140625" style="6"/>
    <col min="6406" max="6406" width="17.85546875" style="6" bestFit="1" customWidth="1"/>
    <col min="6407" max="6407" width="9.140625" style="6" customWidth="1"/>
    <col min="6408" max="6661" width="9.140625" style="6"/>
    <col min="6662" max="6662" width="17.85546875" style="6" bestFit="1" customWidth="1"/>
    <col min="6663" max="6663" width="9.140625" style="6" customWidth="1"/>
    <col min="6664" max="6917" width="9.140625" style="6"/>
    <col min="6918" max="6918" width="17.85546875" style="6" bestFit="1" customWidth="1"/>
    <col min="6919" max="6919" width="9.140625" style="6" customWidth="1"/>
    <col min="6920" max="7173" width="9.140625" style="6"/>
    <col min="7174" max="7174" width="17.85546875" style="6" bestFit="1" customWidth="1"/>
    <col min="7175" max="7175" width="9.140625" style="6" customWidth="1"/>
    <col min="7176" max="7429" width="9.140625" style="6"/>
    <col min="7430" max="7430" width="17.85546875" style="6" bestFit="1" customWidth="1"/>
    <col min="7431" max="7431" width="9.140625" style="6" customWidth="1"/>
    <col min="7432" max="7685" width="9.140625" style="6"/>
    <col min="7686" max="7686" width="17.85546875" style="6" bestFit="1" customWidth="1"/>
    <col min="7687" max="7687" width="9.140625" style="6" customWidth="1"/>
    <col min="7688" max="7941" width="9.140625" style="6"/>
    <col min="7942" max="7942" width="17.85546875" style="6" bestFit="1" customWidth="1"/>
    <col min="7943" max="7943" width="9.140625" style="6" customWidth="1"/>
    <col min="7944" max="8197" width="9.140625" style="6"/>
    <col min="8198" max="8198" width="17.85546875" style="6" bestFit="1" customWidth="1"/>
    <col min="8199" max="8199" width="9.140625" style="6" customWidth="1"/>
    <col min="8200" max="8453" width="9.140625" style="6"/>
    <col min="8454" max="8454" width="17.85546875" style="6" bestFit="1" customWidth="1"/>
    <col min="8455" max="8455" width="9.140625" style="6" customWidth="1"/>
    <col min="8456" max="8709" width="9.140625" style="6"/>
    <col min="8710" max="8710" width="17.85546875" style="6" bestFit="1" customWidth="1"/>
    <col min="8711" max="8711" width="9.140625" style="6" customWidth="1"/>
    <col min="8712" max="8965" width="9.140625" style="6"/>
    <col min="8966" max="8966" width="17.85546875" style="6" bestFit="1" customWidth="1"/>
    <col min="8967" max="8967" width="9.140625" style="6" customWidth="1"/>
    <col min="8968" max="9221" width="9.140625" style="6"/>
    <col min="9222" max="9222" width="17.85546875" style="6" bestFit="1" customWidth="1"/>
    <col min="9223" max="9223" width="9.140625" style="6" customWidth="1"/>
    <col min="9224" max="9477" width="9.140625" style="6"/>
    <col min="9478" max="9478" width="17.85546875" style="6" bestFit="1" customWidth="1"/>
    <col min="9479" max="9479" width="9.140625" style="6" customWidth="1"/>
    <col min="9480" max="9733" width="9.140625" style="6"/>
    <col min="9734" max="9734" width="17.85546875" style="6" bestFit="1" customWidth="1"/>
    <col min="9735" max="9735" width="9.140625" style="6" customWidth="1"/>
    <col min="9736" max="9989" width="9.140625" style="6"/>
    <col min="9990" max="9990" width="17.85546875" style="6" bestFit="1" customWidth="1"/>
    <col min="9991" max="9991" width="9.140625" style="6" customWidth="1"/>
    <col min="9992" max="10245" width="9.140625" style="6"/>
    <col min="10246" max="10246" width="17.85546875" style="6" bestFit="1" customWidth="1"/>
    <col min="10247" max="10247" width="9.140625" style="6" customWidth="1"/>
    <col min="10248" max="10501" width="9.140625" style="6"/>
    <col min="10502" max="10502" width="17.85546875" style="6" bestFit="1" customWidth="1"/>
    <col min="10503" max="10503" width="9.140625" style="6" customWidth="1"/>
    <col min="10504" max="10757" width="9.140625" style="6"/>
    <col min="10758" max="10758" width="17.85546875" style="6" bestFit="1" customWidth="1"/>
    <col min="10759" max="10759" width="9.140625" style="6" customWidth="1"/>
    <col min="10760" max="11013" width="9.140625" style="6"/>
    <col min="11014" max="11014" width="17.85546875" style="6" bestFit="1" customWidth="1"/>
    <col min="11015" max="11015" width="9.140625" style="6" customWidth="1"/>
    <col min="11016" max="11269" width="9.140625" style="6"/>
    <col min="11270" max="11270" width="17.85546875" style="6" bestFit="1" customWidth="1"/>
    <col min="11271" max="11271" width="9.140625" style="6" customWidth="1"/>
    <col min="11272" max="11525" width="9.140625" style="6"/>
    <col min="11526" max="11526" width="17.85546875" style="6" bestFit="1" customWidth="1"/>
    <col min="11527" max="11527" width="9.140625" style="6" customWidth="1"/>
    <col min="11528" max="11781" width="9.140625" style="6"/>
    <col min="11782" max="11782" width="17.85546875" style="6" bestFit="1" customWidth="1"/>
    <col min="11783" max="11783" width="9.140625" style="6" customWidth="1"/>
    <col min="11784" max="12037" width="9.140625" style="6"/>
    <col min="12038" max="12038" width="17.85546875" style="6" bestFit="1" customWidth="1"/>
    <col min="12039" max="12039" width="9.140625" style="6" customWidth="1"/>
    <col min="12040" max="12293" width="9.140625" style="6"/>
    <col min="12294" max="12294" width="17.85546875" style="6" bestFit="1" customWidth="1"/>
    <col min="12295" max="12295" width="9.140625" style="6" customWidth="1"/>
    <col min="12296" max="12549" width="9.140625" style="6"/>
    <col min="12550" max="12550" width="17.85546875" style="6" bestFit="1" customWidth="1"/>
    <col min="12551" max="12551" width="9.140625" style="6" customWidth="1"/>
    <col min="12552" max="12805" width="9.140625" style="6"/>
    <col min="12806" max="12806" width="17.85546875" style="6" bestFit="1" customWidth="1"/>
    <col min="12807" max="12807" width="9.140625" style="6" customWidth="1"/>
    <col min="12808" max="13061" width="9.140625" style="6"/>
    <col min="13062" max="13062" width="17.85546875" style="6" bestFit="1" customWidth="1"/>
    <col min="13063" max="13063" width="9.140625" style="6" customWidth="1"/>
    <col min="13064" max="13317" width="9.140625" style="6"/>
    <col min="13318" max="13318" width="17.85546875" style="6" bestFit="1" customWidth="1"/>
    <col min="13319" max="13319" width="9.140625" style="6" customWidth="1"/>
    <col min="13320" max="13573" width="9.140625" style="6"/>
    <col min="13574" max="13574" width="17.85546875" style="6" bestFit="1" customWidth="1"/>
    <col min="13575" max="13575" width="9.140625" style="6" customWidth="1"/>
    <col min="13576" max="13829" width="9.140625" style="6"/>
    <col min="13830" max="13830" width="17.85546875" style="6" bestFit="1" customWidth="1"/>
    <col min="13831" max="13831" width="9.140625" style="6" customWidth="1"/>
    <col min="13832" max="14085" width="9.140625" style="6"/>
    <col min="14086" max="14086" width="17.85546875" style="6" bestFit="1" customWidth="1"/>
    <col min="14087" max="14087" width="9.140625" style="6" customWidth="1"/>
    <col min="14088" max="14341" width="9.140625" style="6"/>
    <col min="14342" max="14342" width="17.85546875" style="6" bestFit="1" customWidth="1"/>
    <col min="14343" max="14343" width="9.140625" style="6" customWidth="1"/>
    <col min="14344" max="14597" width="9.140625" style="6"/>
    <col min="14598" max="14598" width="17.85546875" style="6" bestFit="1" customWidth="1"/>
    <col min="14599" max="14599" width="9.140625" style="6" customWidth="1"/>
    <col min="14600" max="14853" width="9.140625" style="6"/>
    <col min="14854" max="14854" width="17.85546875" style="6" bestFit="1" customWidth="1"/>
    <col min="14855" max="14855" width="9.140625" style="6" customWidth="1"/>
    <col min="14856" max="15109" width="9.140625" style="6"/>
    <col min="15110" max="15110" width="17.85546875" style="6" bestFit="1" customWidth="1"/>
    <col min="15111" max="15111" width="9.140625" style="6" customWidth="1"/>
    <col min="15112" max="15365" width="9.140625" style="6"/>
    <col min="15366" max="15366" width="17.85546875" style="6" bestFit="1" customWidth="1"/>
    <col min="15367" max="15367" width="9.140625" style="6" customWidth="1"/>
    <col min="15368" max="15621" width="9.140625" style="6"/>
    <col min="15622" max="15622" width="17.85546875" style="6" bestFit="1" customWidth="1"/>
    <col min="15623" max="15623" width="9.140625" style="6" customWidth="1"/>
    <col min="15624" max="15877" width="9.140625" style="6"/>
    <col min="15878" max="15878" width="17.85546875" style="6" bestFit="1" customWidth="1"/>
    <col min="15879" max="15879" width="9.140625" style="6" customWidth="1"/>
    <col min="15880" max="16133" width="9.140625" style="6"/>
    <col min="16134" max="16134" width="17.85546875" style="6" bestFit="1" customWidth="1"/>
    <col min="16135" max="16135" width="9.140625" style="6" customWidth="1"/>
    <col min="16136" max="16384" width="9.140625" style="6"/>
  </cols>
  <sheetData>
    <row r="2" spans="2:11" x14ac:dyDescent="0.2">
      <c r="B2" s="4" t="s">
        <v>8</v>
      </c>
      <c r="C2" s="4"/>
      <c r="D2" s="4"/>
      <c r="E2" s="4"/>
      <c r="F2" s="5"/>
      <c r="G2" s="4" t="str">
        <f>"Financial Results for  Year Ending "&amp;TEXT(FYE,"Mmmm Dd,")</f>
        <v>Financial Results for  Year Ending December 31,</v>
      </c>
      <c r="H2" s="4"/>
      <c r="I2" s="4"/>
      <c r="J2" s="4"/>
      <c r="K2" s="4"/>
    </row>
    <row r="3" spans="2:11" x14ac:dyDescent="0.2">
      <c r="B3" s="5"/>
      <c r="C3" s="5"/>
      <c r="D3" s="5"/>
      <c r="E3" s="5"/>
      <c r="F3" s="5"/>
      <c r="G3" s="7"/>
      <c r="H3" s="8" t="str">
        <f>YEAR(FYE)&amp;"A"</f>
        <v>2010A</v>
      </c>
      <c r="I3" s="8" t="str">
        <f>YEAR(FYE)+1&amp;"E"</f>
        <v>2011E</v>
      </c>
      <c r="J3" s="8" t="str">
        <f>YEAR(FYE)+2&amp;"E"</f>
        <v>2012E</v>
      </c>
      <c r="K3" s="8" t="str">
        <f>YEAR(FYE)+3&amp;"E"</f>
        <v>2013E</v>
      </c>
    </row>
    <row r="4" spans="2:11" x14ac:dyDescent="0.2">
      <c r="B4" s="5" t="s">
        <v>9</v>
      </c>
      <c r="C4" s="5"/>
      <c r="D4" s="5"/>
      <c r="E4" s="9">
        <f>shareprice</f>
        <v>27.26</v>
      </c>
      <c r="F4" s="5"/>
      <c r="G4" s="10" t="s">
        <v>10</v>
      </c>
      <c r="H4" s="11">
        <v>327</v>
      </c>
      <c r="I4" s="11">
        <v>448</v>
      </c>
      <c r="J4" s="11">
        <v>592</v>
      </c>
      <c r="K4" s="11">
        <v>695</v>
      </c>
    </row>
    <row r="5" spans="2:11" x14ac:dyDescent="0.2">
      <c r="B5" s="5" t="s">
        <v>11</v>
      </c>
      <c r="C5" s="5"/>
      <c r="D5" s="5"/>
      <c r="E5" s="12">
        <f>sharesout</f>
        <v>53.2</v>
      </c>
      <c r="F5" s="5"/>
      <c r="G5" s="13" t="s">
        <v>12</v>
      </c>
      <c r="H5" s="308">
        <f>H4/268-1</f>
        <v>0.2201492537313432</v>
      </c>
      <c r="I5" s="14">
        <f>I4/H4-1</f>
        <v>0.37003058103975528</v>
      </c>
      <c r="J5" s="14">
        <f>J4/I4-1</f>
        <v>0.3214285714285714</v>
      </c>
      <c r="K5" s="14">
        <f>K4/J4-1</f>
        <v>0.1739864864864864</v>
      </c>
    </row>
    <row r="6" spans="2:11" x14ac:dyDescent="0.2">
      <c r="B6" s="15" t="s">
        <v>13</v>
      </c>
      <c r="C6" s="15"/>
      <c r="D6" s="15"/>
      <c r="E6" s="16">
        <f>E4*E5</f>
        <v>1450.2320000000002</v>
      </c>
      <c r="F6" s="5"/>
      <c r="G6" s="10" t="s">
        <v>14</v>
      </c>
      <c r="H6" s="17">
        <v>210</v>
      </c>
      <c r="I6" s="17">
        <v>281</v>
      </c>
      <c r="J6" s="17">
        <v>354</v>
      </c>
      <c r="K6" s="18" t="s">
        <v>15</v>
      </c>
    </row>
    <row r="7" spans="2:11" x14ac:dyDescent="0.2">
      <c r="B7" s="5" t="s">
        <v>16</v>
      </c>
      <c r="C7" s="5"/>
      <c r="D7" s="5"/>
      <c r="E7" s="12">
        <f>debt</f>
        <v>0</v>
      </c>
      <c r="F7" s="5"/>
      <c r="G7" s="13" t="s">
        <v>17</v>
      </c>
      <c r="H7" s="19">
        <f>IF(ISERROR(H6/H4),"NA",H6/H4)</f>
        <v>0.64220183486238536</v>
      </c>
      <c r="I7" s="19">
        <f t="shared" ref="I7:K7" si="0">IF(ISERROR(I6/I4),"NA",I6/I4)</f>
        <v>0.6272321428571429</v>
      </c>
      <c r="J7" s="19">
        <f t="shared" si="0"/>
        <v>0.59797297297297303</v>
      </c>
      <c r="K7" s="19" t="str">
        <f t="shared" si="0"/>
        <v>NA</v>
      </c>
    </row>
    <row r="8" spans="2:11" x14ac:dyDescent="0.2">
      <c r="B8" s="6" t="s">
        <v>18</v>
      </c>
      <c r="E8" s="12">
        <f>prefstock</f>
        <v>0</v>
      </c>
      <c r="F8" s="5"/>
      <c r="G8" s="10" t="s">
        <v>19</v>
      </c>
      <c r="H8" s="17">
        <v>201</v>
      </c>
      <c r="I8" s="17">
        <v>253</v>
      </c>
      <c r="J8" s="17">
        <v>318</v>
      </c>
      <c r="K8" s="18">
        <v>365</v>
      </c>
    </row>
    <row r="9" spans="2:11" x14ac:dyDescent="0.2">
      <c r="B9" s="6" t="s">
        <v>20</v>
      </c>
      <c r="E9" s="12">
        <f>mininterest</f>
        <v>53.576999999999998</v>
      </c>
      <c r="F9" s="5"/>
      <c r="G9" s="13" t="s">
        <v>17</v>
      </c>
      <c r="H9" s="19">
        <f>H8/H4</f>
        <v>0.61467889908256879</v>
      </c>
      <c r="I9" s="19">
        <f>I8/I4</f>
        <v>0.5647321428571429</v>
      </c>
      <c r="J9" s="19">
        <f>J8/J4</f>
        <v>0.53716216216216217</v>
      </c>
      <c r="K9" s="19">
        <f>K8/K4</f>
        <v>0.52517985611510787</v>
      </c>
    </row>
    <row r="10" spans="2:11" x14ac:dyDescent="0.2">
      <c r="B10" s="5" t="s">
        <v>21</v>
      </c>
      <c r="C10" s="5"/>
      <c r="D10" s="5"/>
      <c r="E10" s="12">
        <f>cash</f>
        <v>414.38400000000001</v>
      </c>
      <c r="F10" s="5"/>
      <c r="G10" s="10" t="s">
        <v>22</v>
      </c>
      <c r="H10" s="17">
        <v>175</v>
      </c>
      <c r="I10" s="17">
        <v>220</v>
      </c>
      <c r="J10" s="17">
        <v>275</v>
      </c>
      <c r="K10" s="17">
        <v>306</v>
      </c>
    </row>
    <row r="11" spans="2:11" x14ac:dyDescent="0.2">
      <c r="B11" s="15" t="s">
        <v>23</v>
      </c>
      <c r="C11" s="15"/>
      <c r="D11" s="15"/>
      <c r="E11" s="20">
        <f>E6+SUM(E7:E9)-E10</f>
        <v>1089.4250000000002</v>
      </c>
      <c r="F11" s="5"/>
      <c r="G11" s="13" t="s">
        <v>17</v>
      </c>
      <c r="H11" s="21">
        <f>H10/H4</f>
        <v>0.53516819571865448</v>
      </c>
      <c r="I11" s="21">
        <f>I10/I4</f>
        <v>0.49107142857142855</v>
      </c>
      <c r="J11" s="21">
        <f>J10/J4</f>
        <v>0.46452702702702703</v>
      </c>
      <c r="K11" s="21">
        <f>K10/K4</f>
        <v>0.44028776978417267</v>
      </c>
    </row>
    <row r="12" spans="2:11" x14ac:dyDescent="0.2">
      <c r="B12" s="5"/>
      <c r="C12" s="5"/>
      <c r="D12" s="5"/>
      <c r="E12" s="22"/>
      <c r="F12" s="5"/>
      <c r="G12" s="10" t="s">
        <v>24</v>
      </c>
      <c r="H12" s="23">
        <v>3.3</v>
      </c>
      <c r="I12" s="23">
        <v>4.12</v>
      </c>
      <c r="J12" s="23">
        <v>5.12</v>
      </c>
      <c r="K12" s="23">
        <v>5.68</v>
      </c>
    </row>
    <row r="13" spans="2:11" x14ac:dyDescent="0.2">
      <c r="B13" s="5" t="s">
        <v>155</v>
      </c>
      <c r="C13" s="5"/>
      <c r="D13" s="5"/>
      <c r="E13" s="9">
        <f>high</f>
        <v>52</v>
      </c>
      <c r="F13" s="5"/>
      <c r="G13" s="13" t="s">
        <v>12</v>
      </c>
      <c r="H13" s="21">
        <f>H12/2.8-1</f>
        <v>0.1785714285714286</v>
      </c>
      <c r="I13" s="21">
        <f>I12/H12-1</f>
        <v>0.24848484848484853</v>
      </c>
      <c r="J13" s="21">
        <f>J12/I12-1</f>
        <v>0.24271844660194164</v>
      </c>
      <c r="K13" s="21">
        <f>K12/J12-1</f>
        <v>0.109375</v>
      </c>
    </row>
    <row r="14" spans="2:11" x14ac:dyDescent="0.2">
      <c r="B14" s="5" t="s">
        <v>156</v>
      </c>
      <c r="C14" s="5"/>
      <c r="D14" s="5"/>
      <c r="E14" s="306">
        <f>low</f>
        <v>22.81</v>
      </c>
      <c r="F14" s="5"/>
    </row>
    <row r="15" spans="2:11" x14ac:dyDescent="0.2">
      <c r="B15" s="5" t="s">
        <v>25</v>
      </c>
      <c r="C15" s="5"/>
      <c r="D15" s="5"/>
      <c r="E15" s="22">
        <f>E4</f>
        <v>27.26</v>
      </c>
      <c r="F15" s="5"/>
      <c r="G15" s="10" t="s">
        <v>26</v>
      </c>
      <c r="H15" s="24">
        <v>3.7404449999999998</v>
      </c>
      <c r="I15" s="24">
        <v>2.7627329999999999</v>
      </c>
      <c r="J15" s="24">
        <v>2.2349139999999998</v>
      </c>
      <c r="K15" s="24">
        <v>1.9140459999999999</v>
      </c>
    </row>
    <row r="16" spans="2:11" x14ac:dyDescent="0.2">
      <c r="B16" s="5" t="s">
        <v>27</v>
      </c>
      <c r="C16" s="5"/>
      <c r="D16" s="5"/>
      <c r="E16" s="9">
        <f>target</f>
        <v>40</v>
      </c>
      <c r="G16" s="10" t="s">
        <v>28</v>
      </c>
      <c r="H16" s="24">
        <v>5.7945450000000003</v>
      </c>
      <c r="I16" s="24">
        <v>4.6505830000000001</v>
      </c>
      <c r="J16" s="24">
        <v>3.7624279999999999</v>
      </c>
      <c r="K16" s="24">
        <v>3.2266509999999999</v>
      </c>
    </row>
    <row r="17" spans="2:11" x14ac:dyDescent="0.2">
      <c r="B17" s="5" t="s">
        <v>29</v>
      </c>
      <c r="C17" s="5"/>
      <c r="D17" s="5"/>
      <c r="E17" s="307">
        <f>E16/E15-1</f>
        <v>0.46735143066764473</v>
      </c>
      <c r="G17" s="10" t="s">
        <v>30</v>
      </c>
      <c r="H17" s="24">
        <v>9.1181809999999999</v>
      </c>
      <c r="I17" s="24">
        <v>7.2873020000000004</v>
      </c>
      <c r="J17" s="24">
        <v>5.9911349999999999</v>
      </c>
      <c r="K17" s="24">
        <v>5.2898610000000001</v>
      </c>
    </row>
    <row r="18" spans="2:11" ht="5.25" customHeight="1" x14ac:dyDescent="0.2"/>
    <row r="19" spans="2:11" x14ac:dyDescent="0.2">
      <c r="B19" s="25" t="s">
        <v>31</v>
      </c>
    </row>
  </sheetData>
  <pageMargins left="0.7" right="0.7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5"/>
  <sheetViews>
    <sheetView showGridLines="0" zoomScale="85" zoomScaleNormal="85" workbookViewId="0"/>
  </sheetViews>
  <sheetFormatPr defaultRowHeight="12.95" customHeight="1" outlineLevelRow="1" x14ac:dyDescent="0.2"/>
  <cols>
    <col min="1" max="1" width="2.42578125" customWidth="1"/>
    <col min="2" max="2" width="1.7109375" customWidth="1"/>
    <col min="3" max="3" width="10.42578125" bestFit="1" customWidth="1"/>
    <col min="4" max="4" width="10.85546875" bestFit="1" customWidth="1"/>
    <col min="5" max="5" width="10.42578125" bestFit="1" customWidth="1"/>
    <col min="6" max="13" width="12" customWidth="1"/>
    <col min="14" max="14" width="2.7109375" customWidth="1"/>
    <col min="15" max="15" width="11.7109375" bestFit="1" customWidth="1"/>
    <col min="17" max="17" width="14.7109375" customWidth="1"/>
    <col min="18" max="18" width="2.140625" customWidth="1"/>
    <col min="19" max="19" width="16.140625" bestFit="1" customWidth="1"/>
    <col min="20" max="20" width="2.140625" bestFit="1" customWidth="1"/>
    <col min="21" max="23" width="13.5703125" customWidth="1"/>
    <col min="24" max="24" width="2.140625" bestFit="1" customWidth="1"/>
    <col min="25" max="27" width="13.5703125" customWidth="1"/>
    <col min="29" max="31" width="13.5703125" customWidth="1"/>
    <col min="32" max="32" width="0.85546875" customWidth="1"/>
  </cols>
  <sheetData>
    <row r="1" spans="1:31" s="29" customFormat="1" ht="18.75" thickBot="1" x14ac:dyDescent="0.3">
      <c r="A1" s="26" t="str">
        <f>"Discounted Cash Flow Analysis for "&amp;Name</f>
        <v>Discounted Cash Flow Analysis for Changyou.com, Ltd.</v>
      </c>
      <c r="B1" s="26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Q1" s="26" t="str">
        <f>"DCF Sensitivity Analysis for "&amp;Name</f>
        <v>DCF Sensitivity Analysis for Changyou.com, Ltd.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s="34" customFormat="1" ht="12.75" x14ac:dyDescent="0.2">
      <c r="A2" s="30" t="str">
        <f>Subheader</f>
        <v>Dollars in millions, except per share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Q2" s="30" t="str">
        <f>A2</f>
        <v>Dollars in millions, except per share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s="34" customFormat="1" ht="12.75" x14ac:dyDescent="0.2">
      <c r="A3" s="35"/>
      <c r="B3" s="35"/>
      <c r="C3" s="36"/>
      <c r="D3" s="37"/>
      <c r="E3" s="37"/>
      <c r="F3" s="37"/>
      <c r="G3" s="37"/>
      <c r="H3" s="37"/>
      <c r="I3" s="37"/>
      <c r="J3" s="37"/>
      <c r="K3" s="37"/>
      <c r="M3" s="37"/>
      <c r="N3" s="37"/>
      <c r="O3" s="37"/>
      <c r="Q3" s="38"/>
      <c r="R3" s="39"/>
      <c r="S3" s="39"/>
      <c r="T3" s="39"/>
      <c r="U3" s="39"/>
      <c r="V3" s="39"/>
      <c r="W3" s="39"/>
      <c r="X3" s="39"/>
      <c r="Y3" s="39"/>
      <c r="Z3" s="39"/>
      <c r="AA3" s="40"/>
      <c r="AC3" s="38"/>
      <c r="AD3" s="39"/>
      <c r="AE3" s="40"/>
    </row>
    <row r="4" spans="1:31" s="3" customFormat="1" ht="12.75" x14ac:dyDescent="0.2">
      <c r="F4" s="41" t="str">
        <f>Assumptions!$F$15</f>
        <v>Historical Year Ending December 31,</v>
      </c>
      <c r="G4" s="42"/>
      <c r="H4" s="42"/>
      <c r="I4" s="43" t="str">
        <f>Assumptions!$I$15</f>
        <v>Projected Year Ending December 31,</v>
      </c>
      <c r="J4" s="44"/>
      <c r="K4" s="44"/>
      <c r="L4" s="44"/>
      <c r="M4" s="45"/>
      <c r="O4" s="46" t="str">
        <f>H5&amp;"-"&amp;M5</f>
        <v>2010-2015</v>
      </c>
      <c r="Q4" s="47"/>
      <c r="R4" s="34"/>
      <c r="S4" s="48" t="s">
        <v>32</v>
      </c>
      <c r="T4" s="49" t="s">
        <v>33</v>
      </c>
      <c r="U4" s="48" t="s">
        <v>34</v>
      </c>
      <c r="V4" s="50"/>
      <c r="W4" s="50"/>
      <c r="X4" s="34" t="s">
        <v>35</v>
      </c>
      <c r="Y4" s="48" t="s">
        <v>36</v>
      </c>
      <c r="Z4" s="50"/>
      <c r="AA4" s="51"/>
      <c r="AC4" s="52" t="s">
        <v>37</v>
      </c>
      <c r="AD4" s="50"/>
      <c r="AE4" s="51"/>
    </row>
    <row r="5" spans="1:31" s="3" customFormat="1" ht="12.75" x14ac:dyDescent="0.2">
      <c r="F5" s="53">
        <f>Assumptions!F$16</f>
        <v>2008</v>
      </c>
      <c r="G5" s="53">
        <f>Assumptions!G$16</f>
        <v>2009</v>
      </c>
      <c r="H5" s="53">
        <f>Assumptions!H$16</f>
        <v>2010</v>
      </c>
      <c r="I5" s="53">
        <f>Assumptions!I$16</f>
        <v>2011</v>
      </c>
      <c r="J5" s="53">
        <f>Assumptions!J$16</f>
        <v>2012</v>
      </c>
      <c r="K5" s="53">
        <f>Assumptions!K$16</f>
        <v>2013</v>
      </c>
      <c r="L5" s="53">
        <f>Assumptions!L$16</f>
        <v>2014</v>
      </c>
      <c r="M5" s="53">
        <f>Assumptions!M$16</f>
        <v>2015</v>
      </c>
      <c r="O5" s="54" t="s">
        <v>38</v>
      </c>
      <c r="Q5" s="47"/>
      <c r="R5" s="34"/>
      <c r="S5" s="55" t="s">
        <v>39</v>
      </c>
      <c r="T5" s="34"/>
      <c r="U5" s="56" t="s">
        <v>40</v>
      </c>
      <c r="V5" s="56"/>
      <c r="W5" s="56"/>
      <c r="X5" s="34"/>
      <c r="Y5" s="56" t="s">
        <v>41</v>
      </c>
      <c r="Z5" s="57"/>
      <c r="AA5" s="58"/>
      <c r="AC5" s="59" t="s">
        <v>42</v>
      </c>
      <c r="AD5" s="34"/>
      <c r="AE5" s="60"/>
    </row>
    <row r="6" spans="1:31" s="3" customFormat="1" ht="12.75" x14ac:dyDescent="0.2">
      <c r="A6" s="61" t="s">
        <v>43</v>
      </c>
      <c r="B6" s="61"/>
      <c r="C6" s="61"/>
      <c r="F6" s="62">
        <f>Assumptions!F18</f>
        <v>201.845</v>
      </c>
      <c r="G6" s="62">
        <f>Assumptions!G18</f>
        <v>267.58499999999998</v>
      </c>
      <c r="H6" s="63">
        <f>Assumptions!H18</f>
        <v>327.15300000000002</v>
      </c>
      <c r="I6" s="62">
        <f>Assumptions!I18</f>
        <v>439.36484000000002</v>
      </c>
      <c r="J6" s="62">
        <f>Assumptions!J18</f>
        <v>543.12949999993475</v>
      </c>
      <c r="K6" s="62">
        <f>Assumptions!K18</f>
        <v>634.1788299998359</v>
      </c>
      <c r="L6" s="62">
        <f>Assumptions!L18</f>
        <v>697.59671299981949</v>
      </c>
      <c r="M6" s="62">
        <f>Assumptions!M18</f>
        <v>739.45251577980866</v>
      </c>
      <c r="O6" s="64">
        <f>RATE(M$5-H$5,0,-H6,M6)</f>
        <v>0.17715018914285471</v>
      </c>
      <c r="Q6" s="65" t="s">
        <v>44</v>
      </c>
      <c r="R6" s="34"/>
      <c r="S6" s="66" t="str">
        <f>"Flows "&amp;I5&amp;"-"&amp;M5</f>
        <v>Flows 2011-2015</v>
      </c>
      <c r="T6" s="34"/>
      <c r="U6" s="67">
        <f>V6-1</f>
        <v>4</v>
      </c>
      <c r="V6" s="67">
        <f>multiple</f>
        <v>5</v>
      </c>
      <c r="W6" s="67">
        <f>V6+1</f>
        <v>6</v>
      </c>
      <c r="X6" s="34"/>
      <c r="Y6" s="67">
        <f>Z6-1</f>
        <v>4</v>
      </c>
      <c r="Z6" s="67">
        <f>multiple</f>
        <v>5</v>
      </c>
      <c r="AA6" s="68">
        <f>Z6+1</f>
        <v>6</v>
      </c>
      <c r="AC6" s="69">
        <f>AD6-1</f>
        <v>4</v>
      </c>
      <c r="AD6" s="67">
        <f>multiple</f>
        <v>5</v>
      </c>
      <c r="AE6" s="68">
        <f>AD6+1</f>
        <v>6</v>
      </c>
    </row>
    <row r="7" spans="1:31" s="3" customFormat="1" ht="12.75" x14ac:dyDescent="0.2">
      <c r="A7" s="61"/>
      <c r="B7" s="70" t="s">
        <v>45</v>
      </c>
      <c r="C7" s="61"/>
      <c r="F7" s="71"/>
      <c r="G7" s="72">
        <f>G6/F6-1</f>
        <v>0.3256954593871535</v>
      </c>
      <c r="H7" s="72">
        <f t="shared" ref="H7:M7" si="0">H6/G6-1</f>
        <v>0.22261337518919233</v>
      </c>
      <c r="I7" s="72">
        <f t="shared" si="0"/>
        <v>0.34299499011166024</v>
      </c>
      <c r="J7" s="72">
        <f t="shared" si="0"/>
        <v>0.23616969441599989</v>
      </c>
      <c r="K7" s="72">
        <f t="shared" si="0"/>
        <v>0.16763834407800005</v>
      </c>
      <c r="L7" s="72">
        <f t="shared" si="0"/>
        <v>0.10000000000000009</v>
      </c>
      <c r="M7" s="72">
        <f t="shared" si="0"/>
        <v>6.0000000000000053E-2</v>
      </c>
      <c r="O7" s="64"/>
      <c r="Q7" s="73">
        <f>Q8-0.005</f>
        <v>0.19</v>
      </c>
      <c r="R7" s="34"/>
      <c r="S7" s="74">
        <f>XNPV(Q7,$I$23:$M$23,$I$24:$M$24)</f>
        <v>1074.8059455462239</v>
      </c>
      <c r="T7" s="74"/>
      <c r="U7" s="74">
        <f t="shared" ref="U7:W11" si="1">(U$6*$M$8)/(1+$Q7)^((($M$24+365/2)-valdate)/365)</f>
        <v>853.98956748323917</v>
      </c>
      <c r="V7" s="74">
        <f t="shared" si="1"/>
        <v>1067.4869593540488</v>
      </c>
      <c r="W7" s="74">
        <f t="shared" si="1"/>
        <v>1280.9843512248588</v>
      </c>
      <c r="X7" s="34"/>
      <c r="Y7" s="74">
        <f t="shared" ref="Y7:AA11" si="2">$S7+U7</f>
        <v>1928.7955130294631</v>
      </c>
      <c r="Z7" s="74">
        <f t="shared" si="2"/>
        <v>2142.2929049002728</v>
      </c>
      <c r="AA7" s="75">
        <f t="shared" si="2"/>
        <v>2355.7902967710825</v>
      </c>
      <c r="AB7" s="76"/>
      <c r="AC7" s="77">
        <f t="shared" ref="AC7:AE11" si="3">(($M$8*AC$6*$Q7)-$M$20)/($M$20+($M$8*AC$6))</f>
        <v>-3.182166280984175E-2</v>
      </c>
      <c r="AD7" s="78">
        <f t="shared" si="3"/>
        <v>5.6706979390619113E-3</v>
      </c>
      <c r="AE7" s="79">
        <f t="shared" si="3"/>
        <v>3.2321553895938888E-2</v>
      </c>
    </row>
    <row r="8" spans="1:31" s="3" customFormat="1" ht="12.75" x14ac:dyDescent="0.2">
      <c r="A8" s="61" t="s">
        <v>14</v>
      </c>
      <c r="B8" s="61"/>
      <c r="C8" s="61"/>
      <c r="F8" s="71">
        <f>Assumptions!F29</f>
        <v>118.029</v>
      </c>
      <c r="G8" s="71">
        <f>Assumptions!G29</f>
        <v>167.67799999999997</v>
      </c>
      <c r="H8" s="80">
        <f>Assumptions!H29</f>
        <v>212.57500000000005</v>
      </c>
      <c r="I8" s="71">
        <f>Assumptions!I29</f>
        <v>263.51891802298621</v>
      </c>
      <c r="J8" s="71">
        <f>Assumptions!J29</f>
        <v>325.7541003653098</v>
      </c>
      <c r="K8" s="71">
        <f>Assumptions!K29</f>
        <v>380.362978327169</v>
      </c>
      <c r="L8" s="71">
        <f>Assumptions!L29</f>
        <v>418.39927615988586</v>
      </c>
      <c r="M8" s="71">
        <f>Assumptions!M29</f>
        <v>443.50323272947901</v>
      </c>
      <c r="O8" s="64">
        <f>RATE(M$5-H$5,0,-H8,M8)</f>
        <v>0.15844900375082721</v>
      </c>
      <c r="Q8" s="73">
        <f>Q9-0.005</f>
        <v>0.19500000000000001</v>
      </c>
      <c r="R8" s="34"/>
      <c r="S8" s="81">
        <f>XNPV(Q8,$I$23:$M$23,$I$24:$M$24)</f>
        <v>1066.3278446781408</v>
      </c>
      <c r="T8" s="81"/>
      <c r="U8" s="81">
        <f t="shared" si="1"/>
        <v>839.0727403882164</v>
      </c>
      <c r="V8" s="81">
        <f t="shared" si="1"/>
        <v>1048.8409254852704</v>
      </c>
      <c r="W8" s="81">
        <f t="shared" si="1"/>
        <v>1258.6091105823248</v>
      </c>
      <c r="X8" s="34"/>
      <c r="Y8" s="81">
        <f t="shared" si="2"/>
        <v>1905.4005850663571</v>
      </c>
      <c r="Z8" s="81">
        <f t="shared" si="2"/>
        <v>2115.168770163411</v>
      </c>
      <c r="AA8" s="82">
        <f t="shared" si="2"/>
        <v>2324.9369552604658</v>
      </c>
      <c r="AB8" s="76"/>
      <c r="AC8" s="77">
        <f t="shared" si="3"/>
        <v>-2.7753686603160427E-2</v>
      </c>
      <c r="AD8" s="78">
        <f t="shared" si="3"/>
        <v>9.89620507325965E-3</v>
      </c>
      <c r="AE8" s="79">
        <f t="shared" si="3"/>
        <v>3.665903941651006E-2</v>
      </c>
    </row>
    <row r="9" spans="1:31" s="3" customFormat="1" ht="12.75" x14ac:dyDescent="0.2">
      <c r="A9" s="61" t="s">
        <v>46</v>
      </c>
      <c r="B9" s="61"/>
      <c r="C9" s="61"/>
      <c r="F9" s="71">
        <f>-Assumptions!F32</f>
        <v>-2.3660000000000001</v>
      </c>
      <c r="G9" s="71">
        <f>-Assumptions!G32</f>
        <v>-3.5009999999999999</v>
      </c>
      <c r="H9" s="71">
        <f>-Assumptions!H32</f>
        <v>-7.4710000000000001</v>
      </c>
      <c r="I9" s="71">
        <f>-Assumptions!I32</f>
        <v>-10.033515571124214</v>
      </c>
      <c r="J9" s="71">
        <f>-Assumptions!J32</f>
        <v>-12.403127877474798</v>
      </c>
      <c r="K9" s="71">
        <f>-Assumptions!K32</f>
        <v>-14.482367696242351</v>
      </c>
      <c r="L9" s="71">
        <f>-Assumptions!L32</f>
        <v>-15.930604465866587</v>
      </c>
      <c r="M9" s="71">
        <f>-Assumptions!M32</f>
        <v>-16.886440733818581</v>
      </c>
      <c r="O9" s="64"/>
      <c r="Q9" s="83">
        <f>rate</f>
        <v>0.2</v>
      </c>
      <c r="R9" s="34"/>
      <c r="S9" s="81">
        <f>XNPV(Q9,$I$23:$M$23,$I$24:$M$24)</f>
        <v>1057.9764285104725</v>
      </c>
      <c r="T9" s="81"/>
      <c r="U9" s="81">
        <f t="shared" si="1"/>
        <v>824.47712895511802</v>
      </c>
      <c r="V9" s="81">
        <f t="shared" si="1"/>
        <v>1030.5964111938974</v>
      </c>
      <c r="W9" s="81">
        <f t="shared" si="1"/>
        <v>1236.7156934326772</v>
      </c>
      <c r="X9" s="34"/>
      <c r="Y9" s="81">
        <f t="shared" si="2"/>
        <v>1882.4535574655906</v>
      </c>
      <c r="Z9" s="81">
        <f t="shared" si="2"/>
        <v>2088.5728397043699</v>
      </c>
      <c r="AA9" s="82">
        <f t="shared" si="2"/>
        <v>2294.6921219431497</v>
      </c>
      <c r="AB9" s="76"/>
      <c r="AC9" s="77">
        <f t="shared" si="3"/>
        <v>-2.3685710396479074E-2</v>
      </c>
      <c r="AD9" s="78">
        <f t="shared" si="3"/>
        <v>1.4121712207457388E-2</v>
      </c>
      <c r="AE9" s="79">
        <f t="shared" si="3"/>
        <v>4.0996524937081238E-2</v>
      </c>
    </row>
    <row r="10" spans="1:31" s="3" customFormat="1" ht="12.75" x14ac:dyDescent="0.2">
      <c r="A10" s="61" t="s">
        <v>47</v>
      </c>
      <c r="B10" s="61"/>
      <c r="C10" s="61"/>
      <c r="F10" s="84">
        <f>-Assumptions!F33*Assumptions!$N$33</f>
        <v>0</v>
      </c>
      <c r="G10" s="84">
        <f>-Assumptions!G33*Assumptions!$N$33</f>
        <v>0</v>
      </c>
      <c r="H10" s="84">
        <f>-Assumptions!H33*Assumptions!$N$33</f>
        <v>0</v>
      </c>
      <c r="I10" s="84">
        <f>-Assumptions!I33</f>
        <v>0</v>
      </c>
      <c r="J10" s="84">
        <f>-Assumptions!J33</f>
        <v>0</v>
      </c>
      <c r="K10" s="84">
        <f>-Assumptions!K33</f>
        <v>0</v>
      </c>
      <c r="L10" s="84">
        <f>-Assumptions!L33</f>
        <v>0</v>
      </c>
      <c r="M10" s="84">
        <f>-Assumptions!M33</f>
        <v>0</v>
      </c>
      <c r="O10" s="64"/>
      <c r="Q10" s="73">
        <f>Q9+0.005</f>
        <v>0.20500000000000002</v>
      </c>
      <c r="R10" s="34"/>
      <c r="S10" s="81">
        <f>XNPV(Q10,$I$23:$M$23,$I$24:$M$24)</f>
        <v>1049.7491536872096</v>
      </c>
      <c r="T10" s="81"/>
      <c r="U10" s="81">
        <f t="shared" si="1"/>
        <v>810.19452073555965</v>
      </c>
      <c r="V10" s="81">
        <f t="shared" si="1"/>
        <v>1012.7431509194495</v>
      </c>
      <c r="W10" s="81">
        <f t="shared" si="1"/>
        <v>1215.2917811033394</v>
      </c>
      <c r="X10" s="34"/>
      <c r="Y10" s="81">
        <f t="shared" si="2"/>
        <v>1859.9436744227692</v>
      </c>
      <c r="Z10" s="81">
        <f t="shared" si="2"/>
        <v>2062.4923046066592</v>
      </c>
      <c r="AA10" s="82">
        <f t="shared" si="2"/>
        <v>2265.0409347905488</v>
      </c>
      <c r="AB10" s="76"/>
      <c r="AC10" s="77">
        <f t="shared" si="3"/>
        <v>-1.9617734189797724E-2</v>
      </c>
      <c r="AD10" s="78">
        <f t="shared" si="3"/>
        <v>1.8347219341655126E-2</v>
      </c>
      <c r="AE10" s="79">
        <f t="shared" si="3"/>
        <v>4.5334010457652417E-2</v>
      </c>
    </row>
    <row r="11" spans="1:31" s="3" customFormat="1" ht="14.25" x14ac:dyDescent="0.2">
      <c r="A11" s="61" t="s">
        <v>48</v>
      </c>
      <c r="B11" s="61"/>
      <c r="C11" s="61"/>
      <c r="F11" s="85">
        <f t="shared" ref="F11:M11" si="4">SUM(F8:F10)</f>
        <v>115.663</v>
      </c>
      <c r="G11" s="85">
        <f t="shared" si="4"/>
        <v>164.17699999999996</v>
      </c>
      <c r="H11" s="85">
        <f t="shared" si="4"/>
        <v>205.10400000000004</v>
      </c>
      <c r="I11" s="85">
        <f t="shared" si="4"/>
        <v>253.485402451862</v>
      </c>
      <c r="J11" s="85">
        <f t="shared" si="4"/>
        <v>313.35097248783501</v>
      </c>
      <c r="K11" s="85">
        <f t="shared" si="4"/>
        <v>365.88061063092664</v>
      </c>
      <c r="L11" s="85">
        <f t="shared" si="4"/>
        <v>402.46867169401929</v>
      </c>
      <c r="M11" s="85">
        <f t="shared" si="4"/>
        <v>426.61679199566044</v>
      </c>
      <c r="O11" s="64">
        <f>RATE(M$5-H$5,0,-H11,M11)</f>
        <v>0.15774459753173167</v>
      </c>
      <c r="Q11" s="73">
        <f>Q10+0.005</f>
        <v>0.21000000000000002</v>
      </c>
      <c r="R11" s="34"/>
      <c r="S11" s="81">
        <f>XNPV(Q11,$I$23:$M$23,$I$24:$M$24)</f>
        <v>1041.6435397145706</v>
      </c>
      <c r="T11" s="81"/>
      <c r="U11" s="81">
        <f t="shared" si="1"/>
        <v>796.21694609552924</v>
      </c>
      <c r="V11" s="81">
        <f t="shared" si="1"/>
        <v>995.27118261941143</v>
      </c>
      <c r="W11" s="81">
        <f t="shared" si="1"/>
        <v>1194.3254191432939</v>
      </c>
      <c r="X11" s="34"/>
      <c r="Y11" s="81">
        <f t="shared" si="2"/>
        <v>1837.8604858100998</v>
      </c>
      <c r="Z11" s="81">
        <f t="shared" si="2"/>
        <v>2036.9147223339819</v>
      </c>
      <c r="AA11" s="82">
        <f t="shared" si="2"/>
        <v>2235.9689588578644</v>
      </c>
      <c r="AB11" s="76"/>
      <c r="AC11" s="77">
        <f t="shared" si="3"/>
        <v>-1.5549757983116396E-2</v>
      </c>
      <c r="AD11" s="78">
        <f t="shared" si="3"/>
        <v>2.2572726475852865E-2</v>
      </c>
      <c r="AE11" s="79">
        <f t="shared" si="3"/>
        <v>4.9671495978223595E-2</v>
      </c>
    </row>
    <row r="12" spans="1:31" s="3" customFormat="1" ht="12.75" x14ac:dyDescent="0.2">
      <c r="A12" s="61" t="str">
        <f>"Less: Taxes @ "&amp;ROUND(tax*100,1)&amp;"%"</f>
        <v>Less: Taxes @ 11.5%</v>
      </c>
      <c r="B12" s="61"/>
      <c r="C12" s="61"/>
      <c r="D12" s="86"/>
      <c r="F12" s="80">
        <f>F11*-tax</f>
        <v>-13.301245</v>
      </c>
      <c r="G12" s="80">
        <f t="shared" ref="G12:M12" si="5">G11*-tax</f>
        <v>-18.880354999999998</v>
      </c>
      <c r="H12" s="80">
        <f t="shared" si="5"/>
        <v>-23.586960000000005</v>
      </c>
      <c r="I12" s="80">
        <f>I11*-tax</f>
        <v>-29.150821281964131</v>
      </c>
      <c r="J12" s="80">
        <f t="shared" si="5"/>
        <v>-36.035361836101025</v>
      </c>
      <c r="K12" s="80">
        <f t="shared" si="5"/>
        <v>-42.076270222556566</v>
      </c>
      <c r="L12" s="80">
        <f t="shared" si="5"/>
        <v>-46.283897244812223</v>
      </c>
      <c r="M12" s="80">
        <f t="shared" si="5"/>
        <v>-49.060931079500953</v>
      </c>
      <c r="Q12" s="47"/>
      <c r="R12" s="34"/>
      <c r="S12" s="34"/>
      <c r="T12" s="34"/>
      <c r="U12" s="34"/>
      <c r="V12" s="34"/>
      <c r="W12" s="34"/>
      <c r="X12" s="34"/>
      <c r="Y12" s="34"/>
      <c r="Z12" s="34"/>
      <c r="AA12" s="60"/>
      <c r="AC12" s="47"/>
      <c r="AD12" s="34"/>
      <c r="AE12" s="60"/>
    </row>
    <row r="13" spans="1:31" s="3" customFormat="1" ht="12.75" x14ac:dyDescent="0.2">
      <c r="A13" s="61" t="s">
        <v>49</v>
      </c>
      <c r="B13" s="61"/>
      <c r="C13" s="61"/>
      <c r="F13" s="85">
        <f>SUM(F11:F12)</f>
        <v>102.361755</v>
      </c>
      <c r="G13" s="85">
        <f>SUM(G11:G12)</f>
        <v>145.29664499999996</v>
      </c>
      <c r="H13" s="85">
        <f>SUM(H11:H12)</f>
        <v>181.51704000000004</v>
      </c>
      <c r="I13" s="85">
        <f>SUM(I11:I12)</f>
        <v>224.33458116989786</v>
      </c>
      <c r="J13" s="85">
        <f t="shared" ref="J13:K13" si="6">SUM(J11:J12)</f>
        <v>277.315610651734</v>
      </c>
      <c r="K13" s="85">
        <f t="shared" si="6"/>
        <v>323.80434040837008</v>
      </c>
      <c r="L13" s="85">
        <f>SUM(L11:L12)</f>
        <v>356.18477444920705</v>
      </c>
      <c r="M13" s="85">
        <f>SUM(M11:M12)</f>
        <v>377.55586091615947</v>
      </c>
      <c r="Q13" s="47"/>
      <c r="R13" s="34" t="s">
        <v>50</v>
      </c>
      <c r="S13" s="48" t="s">
        <v>51</v>
      </c>
      <c r="T13" s="49" t="s">
        <v>35</v>
      </c>
      <c r="U13" s="48" t="s">
        <v>52</v>
      </c>
      <c r="V13" s="50"/>
      <c r="W13" s="50"/>
      <c r="X13" s="34"/>
      <c r="Y13" s="48" t="s">
        <v>53</v>
      </c>
      <c r="Z13" s="50"/>
      <c r="AA13" s="51"/>
      <c r="AC13" s="52" t="s">
        <v>37</v>
      </c>
      <c r="AD13" s="50"/>
      <c r="AE13" s="51"/>
    </row>
    <row r="14" spans="1:31" s="3" customFormat="1" ht="11.45" customHeight="1" x14ac:dyDescent="0.2">
      <c r="F14" s="87"/>
      <c r="G14" s="87"/>
      <c r="H14" s="80"/>
      <c r="I14" s="71"/>
      <c r="J14" s="71"/>
      <c r="K14" s="71"/>
      <c r="L14" s="71"/>
      <c r="M14" s="71"/>
      <c r="P14" s="34"/>
      <c r="Q14" s="47"/>
      <c r="R14" s="34"/>
      <c r="S14" s="55"/>
      <c r="T14" s="34"/>
      <c r="U14" s="56" t="s">
        <v>54</v>
      </c>
      <c r="V14" s="56"/>
      <c r="W14" s="56"/>
      <c r="X14" s="34"/>
      <c r="Y14" s="56" t="s">
        <v>55</v>
      </c>
      <c r="Z14" s="57"/>
      <c r="AA14" s="58"/>
      <c r="AC14" s="88" t="s">
        <v>56</v>
      </c>
      <c r="AD14" s="89"/>
      <c r="AE14" s="90"/>
    </row>
    <row r="15" spans="1:31" s="3" customFormat="1" ht="12.75" x14ac:dyDescent="0.2">
      <c r="A15" s="61" t="s">
        <v>57</v>
      </c>
      <c r="B15" s="61"/>
      <c r="C15" s="61"/>
      <c r="F15" s="71"/>
      <c r="G15" s="71"/>
      <c r="H15" s="80"/>
      <c r="I15" s="84">
        <f t="shared" ref="I15:M16" si="7">-I9</f>
        <v>10.033515571124214</v>
      </c>
      <c r="J15" s="84">
        <f t="shared" si="7"/>
        <v>12.403127877474798</v>
      </c>
      <c r="K15" s="84">
        <f t="shared" si="7"/>
        <v>14.482367696242351</v>
      </c>
      <c r="L15" s="84">
        <f t="shared" si="7"/>
        <v>15.930604465866587</v>
      </c>
      <c r="M15" s="84">
        <f t="shared" si="7"/>
        <v>16.886440733818581</v>
      </c>
      <c r="N15" s="76"/>
      <c r="O15" s="76"/>
      <c r="P15" s="34"/>
      <c r="Q15" s="65" t="s">
        <v>44</v>
      </c>
      <c r="R15" s="34"/>
      <c r="S15" s="66" t="s">
        <v>58</v>
      </c>
      <c r="T15" s="34"/>
      <c r="U15" s="67">
        <f>V15-1</f>
        <v>4</v>
      </c>
      <c r="V15" s="67">
        <f>multiple</f>
        <v>5</v>
      </c>
      <c r="W15" s="67">
        <f>V15+1</f>
        <v>6</v>
      </c>
      <c r="X15" s="34"/>
      <c r="Y15" s="67">
        <f>Z15-1</f>
        <v>4</v>
      </c>
      <c r="Z15" s="67">
        <f>multiple</f>
        <v>5</v>
      </c>
      <c r="AA15" s="68">
        <f>Z15+1</f>
        <v>6</v>
      </c>
      <c r="AC15" s="69">
        <f>AD15-1</f>
        <v>4</v>
      </c>
      <c r="AD15" s="67">
        <f>multiple</f>
        <v>5</v>
      </c>
      <c r="AE15" s="68">
        <f>AD15+1</f>
        <v>6</v>
      </c>
    </row>
    <row r="16" spans="1:31" s="3" customFormat="1" ht="12.75" x14ac:dyDescent="0.2">
      <c r="A16" s="61" t="s">
        <v>59</v>
      </c>
      <c r="B16" s="61"/>
      <c r="C16" s="61"/>
      <c r="F16" s="71"/>
      <c r="G16" s="71"/>
      <c r="H16" s="80"/>
      <c r="I16" s="84">
        <f t="shared" si="7"/>
        <v>0</v>
      </c>
      <c r="J16" s="84">
        <f t="shared" si="7"/>
        <v>0</v>
      </c>
      <c r="K16" s="84">
        <f t="shared" si="7"/>
        <v>0</v>
      </c>
      <c r="L16" s="84">
        <f t="shared" si="7"/>
        <v>0</v>
      </c>
      <c r="M16" s="84">
        <f t="shared" si="7"/>
        <v>0</v>
      </c>
      <c r="N16" s="76"/>
      <c r="O16" s="76"/>
      <c r="P16" s="34"/>
      <c r="Q16" s="73">
        <f>Q17-0.005</f>
        <v>0.19</v>
      </c>
      <c r="R16" s="34"/>
      <c r="S16" s="74">
        <f>debt-cash</f>
        <v>-414.38400000000001</v>
      </c>
      <c r="T16" s="74"/>
      <c r="U16" s="74">
        <f t="shared" ref="U16:W20" si="8">Y7-$S16</f>
        <v>2343.1795130294631</v>
      </c>
      <c r="V16" s="74">
        <f t="shared" si="8"/>
        <v>2556.6769049002728</v>
      </c>
      <c r="W16" s="74">
        <f t="shared" si="8"/>
        <v>2770.1742967710825</v>
      </c>
      <c r="X16" s="34"/>
      <c r="Y16" s="91">
        <f t="shared" ref="Y16:AA16" si="9">U16/sharesout</f>
        <v>44.044727688523743</v>
      </c>
      <c r="Z16" s="91">
        <f t="shared" si="9"/>
        <v>48.057836558275802</v>
      </c>
      <c r="AA16" s="92">
        <f t="shared" si="9"/>
        <v>52.070945428027862</v>
      </c>
      <c r="AC16" s="83">
        <f t="shared" ref="AC16:AE20" si="10">U7/Y7</f>
        <v>0.44275796045477123</v>
      </c>
      <c r="AD16" s="93">
        <f t="shared" si="10"/>
        <v>0.49829178676374419</v>
      </c>
      <c r="AE16" s="94">
        <f t="shared" si="10"/>
        <v>0.54375992336016266</v>
      </c>
    </row>
    <row r="17" spans="1:31" s="3" customFormat="1" ht="12.75" x14ac:dyDescent="0.2">
      <c r="A17" s="61" t="s">
        <v>60</v>
      </c>
      <c r="B17" s="61"/>
      <c r="C17" s="61"/>
      <c r="F17" s="71"/>
      <c r="G17" s="71"/>
      <c r="H17" s="80"/>
      <c r="I17" s="84">
        <f>Assumptions!I37</f>
        <v>11.541698945019608</v>
      </c>
      <c r="J17" s="84">
        <f>Assumptions!J37</f>
        <v>14.267498457906358</v>
      </c>
      <c r="K17" s="84">
        <f>Assumptions!K37</f>
        <v>16.659278273525199</v>
      </c>
      <c r="L17" s="84">
        <f>Assumptions!L37</f>
        <v>18.325206100877718</v>
      </c>
      <c r="M17" s="84">
        <f>Assumptions!M37</f>
        <v>19.424718466930383</v>
      </c>
      <c r="N17" s="76"/>
      <c r="O17" s="76"/>
      <c r="P17" s="34"/>
      <c r="Q17" s="73">
        <f>Q18-0.005</f>
        <v>0.19500000000000001</v>
      </c>
      <c r="R17" s="34"/>
      <c r="S17" s="81">
        <f>debt-cash</f>
        <v>-414.38400000000001</v>
      </c>
      <c r="T17" s="81"/>
      <c r="U17" s="81">
        <f t="shared" si="8"/>
        <v>2319.7845850663571</v>
      </c>
      <c r="V17" s="81">
        <f t="shared" si="8"/>
        <v>2529.552770163411</v>
      </c>
      <c r="W17" s="81">
        <f t="shared" si="8"/>
        <v>2739.3209552604658</v>
      </c>
      <c r="X17" s="34"/>
      <c r="Y17" s="95">
        <f t="shared" ref="Y17:AA20" si="11">U17/sharesout</f>
        <v>43.604973403502953</v>
      </c>
      <c r="Z17" s="95">
        <f t="shared" si="11"/>
        <v>47.547984401567874</v>
      </c>
      <c r="AA17" s="96">
        <f t="shared" si="11"/>
        <v>51.490995399632816</v>
      </c>
      <c r="AC17" s="83">
        <f t="shared" si="10"/>
        <v>0.44036553098832759</v>
      </c>
      <c r="AD17" s="93">
        <f t="shared" si="10"/>
        <v>0.49586630640553586</v>
      </c>
      <c r="AE17" s="94">
        <f t="shared" si="10"/>
        <v>0.54135193117153624</v>
      </c>
    </row>
    <row r="18" spans="1:31" s="3" customFormat="1" ht="12.75" x14ac:dyDescent="0.2">
      <c r="A18" s="61" t="s">
        <v>61</v>
      </c>
      <c r="B18" s="61"/>
      <c r="C18" s="61"/>
      <c r="F18" s="71"/>
      <c r="G18" s="71"/>
      <c r="H18" s="80"/>
      <c r="I18" s="97">
        <f>-Assumptions!I39</f>
        <v>-10.033515571124214</v>
      </c>
      <c r="J18" s="97">
        <f>-Assumptions!J39</f>
        <v>-12.403127877474798</v>
      </c>
      <c r="K18" s="97">
        <f>-Assumptions!K39</f>
        <v>-14.482367696242351</v>
      </c>
      <c r="L18" s="97">
        <f>-Assumptions!L39</f>
        <v>-15.930604465866587</v>
      </c>
      <c r="M18" s="97">
        <f>-Assumptions!M39</f>
        <v>-16.886440733818581</v>
      </c>
      <c r="N18" s="76"/>
      <c r="O18" s="76"/>
      <c r="P18" s="34"/>
      <c r="Q18" s="83">
        <f>rate</f>
        <v>0.2</v>
      </c>
      <c r="R18" s="34"/>
      <c r="S18" s="81">
        <f>debt-cash</f>
        <v>-414.38400000000001</v>
      </c>
      <c r="T18" s="81"/>
      <c r="U18" s="81">
        <f t="shared" si="8"/>
        <v>2296.8375574655906</v>
      </c>
      <c r="V18" s="81">
        <f t="shared" si="8"/>
        <v>2502.9568397043699</v>
      </c>
      <c r="W18" s="81">
        <f t="shared" si="8"/>
        <v>2709.0761219431497</v>
      </c>
      <c r="X18" s="34"/>
      <c r="Y18" s="95">
        <f t="shared" si="11"/>
        <v>43.173638298225384</v>
      </c>
      <c r="Z18" s="95">
        <f t="shared" si="11"/>
        <v>47.048060896698679</v>
      </c>
      <c r="AA18" s="96">
        <f t="shared" si="11"/>
        <v>50.922483495171981</v>
      </c>
      <c r="AC18" s="83">
        <f t="shared" si="10"/>
        <v>0.43798006367027659</v>
      </c>
      <c r="AD18" s="93">
        <f t="shared" si="10"/>
        <v>0.49344528072086519</v>
      </c>
      <c r="AE18" s="94">
        <f t="shared" si="10"/>
        <v>0.53894624102575639</v>
      </c>
    </row>
    <row r="19" spans="1:31" s="3" customFormat="1" ht="12.75" x14ac:dyDescent="0.2">
      <c r="A19" s="61" t="s">
        <v>62</v>
      </c>
      <c r="B19" s="61"/>
      <c r="C19" s="61"/>
      <c r="F19" s="71"/>
      <c r="G19" s="71"/>
      <c r="H19" s="80"/>
      <c r="I19" s="98">
        <f>-(I6-H6)*Assumptions!I51</f>
        <v>25.382315258243086</v>
      </c>
      <c r="J19" s="98">
        <f>-(J6-I6)*Assumptions!J51</f>
        <v>23.47156336428268</v>
      </c>
      <c r="K19" s="98">
        <f>-(K6-J6)*Assumptions!K51</f>
        <v>20.595356052527979</v>
      </c>
      <c r="L19" s="98">
        <f>-(L6-K6)*Assumptions!L51</f>
        <v>14.345123467505376</v>
      </c>
      <c r="M19" s="98">
        <f>-(M6-L6)*Assumptions!M51</f>
        <v>9.4677814885535501</v>
      </c>
      <c r="N19" s="76"/>
      <c r="O19" s="76"/>
      <c r="P19" s="34"/>
      <c r="Q19" s="73">
        <f>Q18+0.005</f>
        <v>0.20500000000000002</v>
      </c>
      <c r="R19" s="34"/>
      <c r="S19" s="81">
        <f>debt-cash</f>
        <v>-414.38400000000001</v>
      </c>
      <c r="T19" s="81"/>
      <c r="U19" s="81">
        <f t="shared" si="8"/>
        <v>2274.3276744227692</v>
      </c>
      <c r="V19" s="81">
        <f t="shared" si="8"/>
        <v>2476.8763046066592</v>
      </c>
      <c r="W19" s="81">
        <f t="shared" si="8"/>
        <v>2679.4249347905488</v>
      </c>
      <c r="X19" s="34"/>
      <c r="Y19" s="95">
        <f t="shared" si="11"/>
        <v>42.750520195916714</v>
      </c>
      <c r="Z19" s="95">
        <f t="shared" si="11"/>
        <v>46.55782527456126</v>
      </c>
      <c r="AA19" s="96">
        <f t="shared" si="11"/>
        <v>50.365130353205799</v>
      </c>
      <c r="AB19" s="99"/>
      <c r="AC19" s="83">
        <f t="shared" si="10"/>
        <v>0.43560164314492067</v>
      </c>
      <c r="AD19" s="93">
        <f t="shared" si="10"/>
        <v>0.49102881434148726</v>
      </c>
      <c r="AE19" s="94">
        <f t="shared" si="10"/>
        <v>0.53654296592909878</v>
      </c>
    </row>
    <row r="20" spans="1:31" s="99" customFormat="1" ht="12.75" x14ac:dyDescent="0.2">
      <c r="A20" s="100" t="s">
        <v>63</v>
      </c>
      <c r="B20" s="100"/>
      <c r="C20" s="100"/>
      <c r="F20" s="101"/>
      <c r="G20" s="101"/>
      <c r="H20" s="102"/>
      <c r="I20" s="103">
        <f>SUM(I13:I19)</f>
        <v>261.25859537316057</v>
      </c>
      <c r="J20" s="103">
        <f>SUM(J13:J19)</f>
        <v>315.05467247392306</v>
      </c>
      <c r="K20" s="103">
        <f>SUM(K13:K19)</f>
        <v>361.05897473442326</v>
      </c>
      <c r="L20" s="103">
        <f>SUM(L13:L19)</f>
        <v>388.85510401759018</v>
      </c>
      <c r="M20" s="103">
        <f>SUM(M13:M19)</f>
        <v>406.44836087164339</v>
      </c>
      <c r="N20" s="104"/>
      <c r="O20" s="104"/>
      <c r="P20" s="105"/>
      <c r="Q20" s="106">
        <f>Q19+0.005</f>
        <v>0.21000000000000002</v>
      </c>
      <c r="R20" s="107"/>
      <c r="S20" s="108">
        <f>debt-cash</f>
        <v>-414.38400000000001</v>
      </c>
      <c r="T20" s="108"/>
      <c r="U20" s="108">
        <f t="shared" si="8"/>
        <v>2252.2444858100998</v>
      </c>
      <c r="V20" s="108">
        <f t="shared" si="8"/>
        <v>2451.2987223339819</v>
      </c>
      <c r="W20" s="108">
        <f t="shared" si="8"/>
        <v>2650.3529588578645</v>
      </c>
      <c r="X20" s="107"/>
      <c r="Y20" s="109">
        <f t="shared" si="11"/>
        <v>42.335422665603375</v>
      </c>
      <c r="Z20" s="109">
        <f t="shared" si="11"/>
        <v>46.077043652894396</v>
      </c>
      <c r="AA20" s="110">
        <f t="shared" si="11"/>
        <v>49.818664640185418</v>
      </c>
      <c r="AC20" s="111">
        <f t="shared" si="10"/>
        <v>0.433230352490314</v>
      </c>
      <c r="AD20" s="112">
        <f t="shared" si="10"/>
        <v>0.48861701067140806</v>
      </c>
      <c r="AE20" s="113">
        <f t="shared" si="10"/>
        <v>0.53414221803569073</v>
      </c>
    </row>
    <row r="21" spans="1:31" s="99" customFormat="1" ht="12.75" x14ac:dyDescent="0.2">
      <c r="A21" s="100"/>
      <c r="B21" s="70" t="s">
        <v>45</v>
      </c>
      <c r="C21" s="61"/>
      <c r="D21" s="3"/>
      <c r="E21" s="3"/>
      <c r="F21" s="71"/>
      <c r="G21" s="72"/>
      <c r="H21" s="72"/>
      <c r="I21" s="72"/>
      <c r="J21" s="72">
        <f t="shared" ref="J21:M21" si="12">J20/I20-1</f>
        <v>0.2059112237969607</v>
      </c>
      <c r="K21" s="72">
        <f t="shared" si="12"/>
        <v>0.14602006026210557</v>
      </c>
      <c r="L21" s="72">
        <f t="shared" si="12"/>
        <v>7.6985011392148195E-2</v>
      </c>
      <c r="M21" s="72">
        <f t="shared" si="12"/>
        <v>4.5243733905720784E-2</v>
      </c>
      <c r="P21" s="105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31" s="99" customFormat="1" ht="12.75" hidden="1" outlineLevel="1" x14ac:dyDescent="0.2">
      <c r="A22" s="61" t="s">
        <v>64</v>
      </c>
      <c r="B22" s="100"/>
      <c r="C22" s="100"/>
      <c r="F22" s="101"/>
      <c r="G22" s="101"/>
      <c r="H22" s="102"/>
      <c r="I22" s="114">
        <f>((FYE+365)-valdate)/365</f>
        <v>0.20273972602739726</v>
      </c>
      <c r="J22" s="114">
        <v>1</v>
      </c>
      <c r="K22" s="114">
        <v>1</v>
      </c>
      <c r="L22" s="114">
        <v>1</v>
      </c>
      <c r="M22" s="114">
        <v>1</v>
      </c>
      <c r="P22" s="105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31" s="99" customFormat="1" ht="12.75" hidden="1" outlineLevel="1" x14ac:dyDescent="0.2">
      <c r="A23" s="61" t="s">
        <v>65</v>
      </c>
      <c r="B23" s="100"/>
      <c r="C23" s="100"/>
      <c r="F23" s="101"/>
      <c r="G23" s="101"/>
      <c r="H23" s="102"/>
      <c r="I23" s="115">
        <f>I20*I22</f>
        <v>52.96749604825721</v>
      </c>
      <c r="J23" s="115">
        <f t="shared" ref="J23:M23" si="13">J20*J22</f>
        <v>315.05467247392306</v>
      </c>
      <c r="K23" s="115">
        <f t="shared" si="13"/>
        <v>361.05897473442326</v>
      </c>
      <c r="L23" s="115">
        <f t="shared" si="13"/>
        <v>388.85510401759018</v>
      </c>
      <c r="M23" s="115">
        <f t="shared" si="13"/>
        <v>406.44836087164339</v>
      </c>
      <c r="P23" s="105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31" s="99" customFormat="1" ht="12.75" hidden="1" outlineLevel="1" x14ac:dyDescent="0.2">
      <c r="A24" s="61" t="s">
        <v>66</v>
      </c>
      <c r="B24" s="100"/>
      <c r="C24" s="100"/>
      <c r="F24" s="101"/>
      <c r="G24" s="101"/>
      <c r="H24" s="102"/>
      <c r="I24" s="116">
        <f>((FYE+365)-valdate)/2+valdate</f>
        <v>40871</v>
      </c>
      <c r="J24" s="116">
        <f>(FYE+365)-valdate+valdate+365/2</f>
        <v>41090.5</v>
      </c>
      <c r="K24" s="116">
        <f>J24+365</f>
        <v>41455.5</v>
      </c>
      <c r="L24" s="116">
        <f>K24+365</f>
        <v>41820.5</v>
      </c>
      <c r="M24" s="116">
        <f>L24+365</f>
        <v>42185.5</v>
      </c>
      <c r="P24" s="10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"/>
      <c r="AC24" s="3"/>
      <c r="AD24" s="3"/>
      <c r="AE24" s="3"/>
    </row>
    <row r="25" spans="1:31" s="3" customFormat="1" ht="12.75" hidden="1" outlineLevel="1" x14ac:dyDescent="0.2">
      <c r="A25" s="117"/>
      <c r="B25" s="117"/>
      <c r="C25" s="117"/>
      <c r="D25" s="2"/>
      <c r="F25" s="2"/>
      <c r="G25" s="2"/>
      <c r="H25" s="118"/>
      <c r="I25" s="118"/>
      <c r="J25" s="118"/>
      <c r="K25" s="118"/>
      <c r="L25" s="118"/>
      <c r="M25" s="118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1" s="3" customFormat="1" ht="12.75" collapsed="1" x14ac:dyDescent="0.2">
      <c r="Q26" s="38"/>
      <c r="R26" s="39"/>
      <c r="S26" s="39"/>
      <c r="T26" s="39"/>
      <c r="U26" s="39"/>
      <c r="V26" s="39"/>
      <c r="W26" s="39"/>
      <c r="X26" s="39"/>
      <c r="Y26" s="39"/>
      <c r="Z26" s="39"/>
      <c r="AA26" s="40"/>
      <c r="AC26" s="38"/>
      <c r="AD26" s="39"/>
      <c r="AE26" s="40"/>
    </row>
    <row r="27" spans="1:31" s="3" customFormat="1" ht="12.75" x14ac:dyDescent="0.2">
      <c r="A27" s="117" t="s">
        <v>67</v>
      </c>
      <c r="Q27" s="47"/>
      <c r="R27" s="34"/>
      <c r="S27" s="48" t="s">
        <v>32</v>
      </c>
      <c r="T27" s="49" t="s">
        <v>33</v>
      </c>
      <c r="U27" s="48" t="s">
        <v>34</v>
      </c>
      <c r="V27" s="50"/>
      <c r="W27" s="50"/>
      <c r="X27" s="34" t="s">
        <v>35</v>
      </c>
      <c r="Y27" s="48" t="s">
        <v>36</v>
      </c>
      <c r="Z27" s="50"/>
      <c r="AA27" s="51"/>
      <c r="AC27" s="52" t="s">
        <v>37</v>
      </c>
      <c r="AD27" s="50"/>
      <c r="AE27" s="51"/>
    </row>
    <row r="28" spans="1:31" s="3" customFormat="1" ht="12.75" x14ac:dyDescent="0.2">
      <c r="Q28" s="47"/>
      <c r="R28" s="34"/>
      <c r="S28" s="55" t="s">
        <v>39</v>
      </c>
      <c r="T28" s="34"/>
      <c r="U28" s="56" t="s">
        <v>68</v>
      </c>
      <c r="V28" s="56"/>
      <c r="W28" s="56"/>
      <c r="X28" s="34"/>
      <c r="Y28" s="56" t="s">
        <v>69</v>
      </c>
      <c r="Z28" s="57"/>
      <c r="AA28" s="58"/>
      <c r="AC28" s="59" t="s">
        <v>70</v>
      </c>
      <c r="AD28" s="34"/>
      <c r="AE28" s="60"/>
    </row>
    <row r="29" spans="1:31" s="3" customFormat="1" ht="12.75" x14ac:dyDescent="0.2">
      <c r="A29" s="119" t="s">
        <v>71</v>
      </c>
      <c r="B29" s="117"/>
      <c r="C29" s="117"/>
      <c r="D29" s="2"/>
      <c r="F29" s="2"/>
      <c r="G29" s="2"/>
      <c r="H29" s="118"/>
      <c r="I29" s="118"/>
      <c r="J29" s="118"/>
      <c r="K29" s="118"/>
      <c r="L29" s="118"/>
      <c r="M29" s="118"/>
      <c r="Q29" s="65" t="s">
        <v>44</v>
      </c>
      <c r="R29" s="34"/>
      <c r="S29" s="66" t="str">
        <f>"Flows "&amp;I5&amp;"-"&amp;M5</f>
        <v>Flows 2011-2015</v>
      </c>
      <c r="T29" s="34"/>
      <c r="U29" s="120">
        <f>V29-0.01</f>
        <v>1.9999999999999997E-2</v>
      </c>
      <c r="V29" s="120">
        <f>termgrowth</f>
        <v>0.03</v>
      </c>
      <c r="W29" s="120">
        <f>V29+0.01</f>
        <v>0.04</v>
      </c>
      <c r="X29" s="34"/>
      <c r="Y29" s="120">
        <f>Z29-0.01</f>
        <v>1.9999999999999997E-2</v>
      </c>
      <c r="Z29" s="120">
        <f>termgrowth</f>
        <v>0.03</v>
      </c>
      <c r="AA29" s="121">
        <f>Z29+0.01</f>
        <v>0.04</v>
      </c>
      <c r="AC29" s="122">
        <f>AD29-0.01</f>
        <v>1.9999999999999997E-2</v>
      </c>
      <c r="AD29" s="120">
        <f>termgrowth</f>
        <v>0.03</v>
      </c>
      <c r="AE29" s="121">
        <f>AD29+0.01</f>
        <v>0.04</v>
      </c>
    </row>
    <row r="30" spans="1:31" s="3" customFormat="1" ht="12.75" x14ac:dyDescent="0.2">
      <c r="A30" s="123" t="s">
        <v>72</v>
      </c>
      <c r="B30" s="117"/>
      <c r="C30" s="117"/>
      <c r="D30" s="2"/>
      <c r="F30" s="124" t="s">
        <v>15</v>
      </c>
      <c r="G30" s="125">
        <f t="shared" ref="G30:M30" si="14">G6/F6-1</f>
        <v>0.3256954593871535</v>
      </c>
      <c r="H30" s="125">
        <f t="shared" si="14"/>
        <v>0.22261337518919233</v>
      </c>
      <c r="I30" s="125">
        <f t="shared" si="14"/>
        <v>0.34299499011166024</v>
      </c>
      <c r="J30" s="125">
        <f t="shared" si="14"/>
        <v>0.23616969441599989</v>
      </c>
      <c r="K30" s="125">
        <f t="shared" si="14"/>
        <v>0.16763834407800005</v>
      </c>
      <c r="L30" s="125">
        <f t="shared" si="14"/>
        <v>0.10000000000000009</v>
      </c>
      <c r="M30" s="125">
        <f t="shared" si="14"/>
        <v>6.0000000000000053E-2</v>
      </c>
      <c r="Q30" s="73">
        <f>Q31-0.005</f>
        <v>0.19</v>
      </c>
      <c r="R30" s="34"/>
      <c r="S30" s="74">
        <f>XNPV(Q30,$I$23:$M$23,$I$24:$M$24)</f>
        <v>1074.8059455462239</v>
      </c>
      <c r="T30" s="74"/>
      <c r="U30" s="126">
        <f t="shared" ref="U30:W34" si="15">$M$20*(1+U$29)/($Q30-U$29)*(1/(1+$Q30)^(($M$24-valdate)/365))</f>
        <v>1280.6365472779039</v>
      </c>
      <c r="V30" s="126">
        <f t="shared" si="15"/>
        <v>1374.016295516918</v>
      </c>
      <c r="W30" s="126">
        <f t="shared" si="15"/>
        <v>1479.846676854467</v>
      </c>
      <c r="X30" s="34"/>
      <c r="Y30" s="74">
        <f t="shared" ref="Y30:AA34" si="16">$S30+U30</f>
        <v>2355.4424928241278</v>
      </c>
      <c r="Z30" s="74">
        <f t="shared" si="16"/>
        <v>2448.822241063142</v>
      </c>
      <c r="AA30" s="75">
        <f t="shared" si="16"/>
        <v>2554.6526224006911</v>
      </c>
      <c r="AC30" s="127">
        <f t="shared" ref="AC30:AE34" si="17">$M$20*(1+AC$29)/($Q30-AC$29)/$M$8</f>
        <v>5.4986976086313524</v>
      </c>
      <c r="AD30" s="128">
        <f t="shared" si="17"/>
        <v>5.8996443092607223</v>
      </c>
      <c r="AE30" s="129">
        <f t="shared" si="17"/>
        <v>6.3540505699740075</v>
      </c>
    </row>
    <row r="31" spans="1:31" s="3" customFormat="1" ht="12.75" x14ac:dyDescent="0.2">
      <c r="A31" s="123" t="s">
        <v>73</v>
      </c>
      <c r="B31" s="117"/>
      <c r="C31" s="117"/>
      <c r="D31" s="2"/>
      <c r="F31" s="130">
        <f>Assumptions!F43</f>
        <v>0.92750377765116787</v>
      </c>
      <c r="G31" s="130">
        <f>Assumptions!G43</f>
        <v>0.93453295214604704</v>
      </c>
      <c r="H31" s="130">
        <f>Assumptions!H43</f>
        <v>0.90875217405923225</v>
      </c>
      <c r="I31" s="130">
        <f>Assumptions!I43</f>
        <v>0.90875217405923225</v>
      </c>
      <c r="J31" s="130">
        <f>Assumptions!J43</f>
        <v>0.90875217405923225</v>
      </c>
      <c r="K31" s="130">
        <f>Assumptions!K43</f>
        <v>0.90875217405923225</v>
      </c>
      <c r="L31" s="130">
        <f>Assumptions!L43</f>
        <v>0.90875217405923225</v>
      </c>
      <c r="M31" s="130">
        <f>Assumptions!M43</f>
        <v>0.90875217405923225</v>
      </c>
      <c r="Q31" s="73">
        <f>Q32-0.005</f>
        <v>0.19500000000000001</v>
      </c>
      <c r="R31" s="34"/>
      <c r="S31" s="81">
        <f>XNPV(Q31,$I$23:$M$23,$I$24:$M$24)</f>
        <v>1066.3278446781408</v>
      </c>
      <c r="T31" s="81"/>
      <c r="U31" s="131">
        <f t="shared" si="15"/>
        <v>1224.882086083468</v>
      </c>
      <c r="V31" s="131">
        <f t="shared" si="15"/>
        <v>1311.8538087732925</v>
      </c>
      <c r="W31" s="131">
        <f t="shared" si="15"/>
        <v>1410.0476892295458</v>
      </c>
      <c r="X31" s="34"/>
      <c r="Y31" s="81">
        <f t="shared" si="16"/>
        <v>2291.209930761609</v>
      </c>
      <c r="Z31" s="81">
        <f t="shared" si="16"/>
        <v>2378.1816534514332</v>
      </c>
      <c r="AA31" s="82">
        <f t="shared" si="16"/>
        <v>2476.3755339076865</v>
      </c>
      <c r="AC31" s="127">
        <f t="shared" si="17"/>
        <v>5.3415919626704564</v>
      </c>
      <c r="AD31" s="128">
        <f t="shared" si="17"/>
        <v>5.7208672089800938</v>
      </c>
      <c r="AE31" s="129">
        <f t="shared" si="17"/>
        <v>6.1490811967490391</v>
      </c>
    </row>
    <row r="32" spans="1:31" s="3" customFormat="1" ht="12.75" x14ac:dyDescent="0.2">
      <c r="A32" s="123" t="s">
        <v>74</v>
      </c>
      <c r="B32" s="117"/>
      <c r="C32" s="117"/>
      <c r="D32" s="2"/>
      <c r="F32" s="130">
        <f>Assumptions!F44</f>
        <v>0.23765760856102455</v>
      </c>
      <c r="G32" s="130">
        <f>Assumptions!G44</f>
        <v>0.21976941906310146</v>
      </c>
      <c r="H32" s="130">
        <f>Assumptions!H44</f>
        <v>0.17892240022252584</v>
      </c>
      <c r="I32" s="130">
        <f>Assumptions!I44</f>
        <v>0.22892240022252586</v>
      </c>
      <c r="J32" s="130">
        <f>Assumptions!J44</f>
        <v>0.22892240022252586</v>
      </c>
      <c r="K32" s="130">
        <f>Assumptions!K44</f>
        <v>0.22892240022252586</v>
      </c>
      <c r="L32" s="130">
        <f>Assumptions!L44</f>
        <v>0.22892240022252586</v>
      </c>
      <c r="M32" s="130">
        <f>Assumptions!M44</f>
        <v>0.22892240022252586</v>
      </c>
      <c r="Q32" s="83">
        <f>rate</f>
        <v>0.2</v>
      </c>
      <c r="R32" s="34"/>
      <c r="S32" s="81">
        <f>XNPV(Q32,$I$23:$M$23,$I$24:$M$24)</f>
        <v>1057.9764285104725</v>
      </c>
      <c r="T32" s="81"/>
      <c r="U32" s="131">
        <f t="shared" si="15"/>
        <v>1172.5881415540359</v>
      </c>
      <c r="V32" s="131">
        <f t="shared" si="15"/>
        <v>1253.7361098276717</v>
      </c>
      <c r="W32" s="131">
        <f t="shared" si="15"/>
        <v>1345.0275741355119</v>
      </c>
      <c r="X32" s="34"/>
      <c r="Y32" s="81">
        <f t="shared" si="16"/>
        <v>2230.5645700645082</v>
      </c>
      <c r="Z32" s="81">
        <f t="shared" si="16"/>
        <v>2311.7125383381444</v>
      </c>
      <c r="AA32" s="82">
        <f t="shared" si="16"/>
        <v>2403.0040026459847</v>
      </c>
      <c r="AC32" s="127">
        <f t="shared" si="17"/>
        <v>5.1932144081518326</v>
      </c>
      <c r="AD32" s="128">
        <f t="shared" si="17"/>
        <v>5.552606408715973</v>
      </c>
      <c r="AE32" s="129">
        <f t="shared" si="17"/>
        <v>5.9569224093506321</v>
      </c>
    </row>
    <row r="33" spans="1:31" s="3" customFormat="1" ht="12.75" x14ac:dyDescent="0.2">
      <c r="A33" s="123" t="s">
        <v>75</v>
      </c>
      <c r="B33" s="117"/>
      <c r="C33" s="117"/>
      <c r="D33" s="2"/>
      <c r="F33" s="130">
        <f>Assumptions!F45</f>
        <v>0.11821942579702246</v>
      </c>
      <c r="G33" s="130">
        <f>Assumptions!G45</f>
        <v>0.10222172393818788</v>
      </c>
      <c r="H33" s="130">
        <f>Assumptions!H45</f>
        <v>0.10688882571763059</v>
      </c>
      <c r="I33" s="130">
        <f>Assumptions!I45</f>
        <v>0.10688882571763059</v>
      </c>
      <c r="J33" s="130">
        <f>Assumptions!J45</f>
        <v>0.10688882571763059</v>
      </c>
      <c r="K33" s="130">
        <f>Assumptions!K45</f>
        <v>0.10688882571763059</v>
      </c>
      <c r="L33" s="130">
        <f>Assumptions!L45</f>
        <v>0.10688882571763059</v>
      </c>
      <c r="M33" s="130">
        <f>Assumptions!M45</f>
        <v>0.10688882571763059</v>
      </c>
      <c r="Q33" s="73">
        <f>Q32+0.005</f>
        <v>0.20500000000000002</v>
      </c>
      <c r="R33" s="34"/>
      <c r="S33" s="81">
        <f>XNPV(Q33,$I$23:$M$23,$I$24:$M$24)</f>
        <v>1049.7491536872096</v>
      </c>
      <c r="T33" s="81"/>
      <c r="U33" s="131">
        <f t="shared" si="15"/>
        <v>1123.4658195560507</v>
      </c>
      <c r="V33" s="131">
        <f t="shared" si="15"/>
        <v>1199.3076297837845</v>
      </c>
      <c r="W33" s="131">
        <f t="shared" si="15"/>
        <v>1284.3423867057884</v>
      </c>
      <c r="X33" s="34"/>
      <c r="Y33" s="81">
        <f t="shared" si="16"/>
        <v>2173.2149732432604</v>
      </c>
      <c r="Z33" s="81">
        <f t="shared" si="16"/>
        <v>2249.0567834709941</v>
      </c>
      <c r="AA33" s="82">
        <f t="shared" si="16"/>
        <v>2334.091540392998</v>
      </c>
      <c r="AC33" s="127">
        <f t="shared" si="17"/>
        <v>5.0528572619855661</v>
      </c>
      <c r="AD33" s="128">
        <f t="shared" si="17"/>
        <v>5.3939605113240887</v>
      </c>
      <c r="AE33" s="129">
        <f t="shared" si="17"/>
        <v>5.7764096090672785</v>
      </c>
    </row>
    <row r="34" spans="1:31" s="3" customFormat="1" ht="12.75" x14ac:dyDescent="0.2">
      <c r="A34" s="123" t="s">
        <v>14</v>
      </c>
      <c r="C34" s="117"/>
      <c r="D34" s="2"/>
      <c r="F34" s="130">
        <f t="shared" ref="F34:M34" si="18">F8/F6</f>
        <v>0.58475067502291356</v>
      </c>
      <c r="G34" s="130">
        <f t="shared" si="18"/>
        <v>0.62663452734645064</v>
      </c>
      <c r="H34" s="130">
        <f t="shared" si="18"/>
        <v>0.6497724306364302</v>
      </c>
      <c r="I34" s="130">
        <f t="shared" si="18"/>
        <v>0.59977243063643004</v>
      </c>
      <c r="J34" s="130">
        <f t="shared" si="18"/>
        <v>0.59977243063643004</v>
      </c>
      <c r="K34" s="130">
        <f t="shared" si="18"/>
        <v>0.59977243063643015</v>
      </c>
      <c r="L34" s="130">
        <f t="shared" si="18"/>
        <v>0.59977243063643004</v>
      </c>
      <c r="M34" s="130">
        <f t="shared" si="18"/>
        <v>0.59977243063643004</v>
      </c>
      <c r="Q34" s="73">
        <f>Q33+0.005</f>
        <v>0.21000000000000002</v>
      </c>
      <c r="R34" s="34"/>
      <c r="S34" s="81">
        <f>XNPV(Q34,$I$23:$M$23,$I$24:$M$24)</f>
        <v>1041.6435397145706</v>
      </c>
      <c r="T34" s="81"/>
      <c r="U34" s="131">
        <f t="shared" si="15"/>
        <v>1077.2568587666246</v>
      </c>
      <c r="V34" s="131">
        <f t="shared" si="15"/>
        <v>1148.2525449925297</v>
      </c>
      <c r="W34" s="131">
        <f t="shared" si="15"/>
        <v>1227.6006648920707</v>
      </c>
      <c r="X34" s="34"/>
      <c r="Y34" s="81">
        <f t="shared" si="16"/>
        <v>2118.9003984811952</v>
      </c>
      <c r="Z34" s="81">
        <f t="shared" si="16"/>
        <v>2189.8960847071003</v>
      </c>
      <c r="AA34" s="82">
        <f t="shared" si="16"/>
        <v>2269.2442046066412</v>
      </c>
      <c r="AC34" s="127">
        <f t="shared" si="17"/>
        <v>4.9198873340385783</v>
      </c>
      <c r="AD34" s="128">
        <f t="shared" si="17"/>
        <v>5.2441282748984195</v>
      </c>
      <c r="AE34" s="129">
        <f t="shared" si="17"/>
        <v>5.6065152088005954</v>
      </c>
    </row>
    <row r="35" spans="1:31" s="3" customFormat="1" ht="12.75" x14ac:dyDescent="0.2">
      <c r="A35" s="123" t="s">
        <v>19</v>
      </c>
      <c r="C35" s="117"/>
      <c r="D35" s="2"/>
      <c r="F35" s="130">
        <f t="shared" ref="F35:M35" si="19">F11/F6</f>
        <v>0.57302880923480892</v>
      </c>
      <c r="G35" s="130">
        <f t="shared" si="19"/>
        <v>0.61355083431432988</v>
      </c>
      <c r="H35" s="130">
        <f t="shared" si="19"/>
        <v>0.62693602076092847</v>
      </c>
      <c r="I35" s="130">
        <f t="shared" si="19"/>
        <v>0.57693602076092843</v>
      </c>
      <c r="J35" s="130">
        <f t="shared" si="19"/>
        <v>0.57693602076092843</v>
      </c>
      <c r="K35" s="130">
        <f t="shared" si="19"/>
        <v>0.57693602076092843</v>
      </c>
      <c r="L35" s="130">
        <f t="shared" si="19"/>
        <v>0.57693602076092843</v>
      </c>
      <c r="M35" s="130">
        <f t="shared" si="19"/>
        <v>0.57693602076092843</v>
      </c>
      <c r="Q35" s="47"/>
      <c r="R35" s="34"/>
      <c r="S35" s="34"/>
      <c r="T35" s="34"/>
      <c r="U35" s="34"/>
      <c r="V35" s="34"/>
      <c r="W35" s="34"/>
      <c r="X35" s="34"/>
      <c r="Y35" s="34"/>
      <c r="Z35" s="34"/>
      <c r="AA35" s="60"/>
      <c r="AC35" s="47"/>
      <c r="AD35" s="34"/>
      <c r="AE35" s="60"/>
    </row>
    <row r="36" spans="1:31" s="3" customFormat="1" ht="12.75" x14ac:dyDescent="0.2">
      <c r="A36" s="123" t="s">
        <v>76</v>
      </c>
      <c r="B36" s="117"/>
      <c r="C36" s="117"/>
      <c r="D36" s="2"/>
      <c r="F36" s="130">
        <f t="shared" ref="F36:M36" si="20">-F12/F11</f>
        <v>0.115</v>
      </c>
      <c r="G36" s="130">
        <f t="shared" si="20"/>
        <v>0.11500000000000002</v>
      </c>
      <c r="H36" s="130">
        <f t="shared" si="20"/>
        <v>0.115</v>
      </c>
      <c r="I36" s="130">
        <f t="shared" si="20"/>
        <v>0.115</v>
      </c>
      <c r="J36" s="130">
        <f t="shared" si="20"/>
        <v>0.11499999999999999</v>
      </c>
      <c r="K36" s="130">
        <f t="shared" si="20"/>
        <v>0.115</v>
      </c>
      <c r="L36" s="130">
        <f t="shared" si="20"/>
        <v>0.11500000000000002</v>
      </c>
      <c r="M36" s="130">
        <f t="shared" si="20"/>
        <v>0.115</v>
      </c>
      <c r="Q36" s="47"/>
      <c r="R36" s="34" t="s">
        <v>50</v>
      </c>
      <c r="S36" s="48" t="s">
        <v>51</v>
      </c>
      <c r="T36" s="49" t="s">
        <v>35</v>
      </c>
      <c r="U36" s="48" t="s">
        <v>52</v>
      </c>
      <c r="V36" s="50"/>
      <c r="W36" s="50"/>
      <c r="X36" s="34"/>
      <c r="Y36" s="48" t="s">
        <v>53</v>
      </c>
      <c r="Z36" s="50"/>
      <c r="AA36" s="51"/>
      <c r="AC36" s="52" t="s">
        <v>37</v>
      </c>
      <c r="AD36" s="50"/>
      <c r="AE36" s="51"/>
    </row>
    <row r="37" spans="1:31" s="3" customFormat="1" ht="12.75" x14ac:dyDescent="0.2">
      <c r="A37" s="123" t="s">
        <v>77</v>
      </c>
      <c r="B37" s="117"/>
      <c r="C37" s="117"/>
      <c r="D37" s="2"/>
      <c r="F37" s="130">
        <f t="shared" ref="F37:M38" si="21">-F9/F$6</f>
        <v>1.1721865788104734E-2</v>
      </c>
      <c r="G37" s="130">
        <f t="shared" si="21"/>
        <v>1.3083693032120635E-2</v>
      </c>
      <c r="H37" s="130">
        <f t="shared" si="21"/>
        <v>2.2836409875501677E-2</v>
      </c>
      <c r="I37" s="130">
        <f t="shared" si="21"/>
        <v>2.2836409875501677E-2</v>
      </c>
      <c r="J37" s="130">
        <f t="shared" si="21"/>
        <v>2.2836409875501677E-2</v>
      </c>
      <c r="K37" s="130">
        <f t="shared" si="21"/>
        <v>2.2836409875501677E-2</v>
      </c>
      <c r="L37" s="130">
        <f t="shared" si="21"/>
        <v>2.2836409875501677E-2</v>
      </c>
      <c r="M37" s="130">
        <f t="shared" si="21"/>
        <v>2.2836409875501677E-2</v>
      </c>
      <c r="Q37" s="47"/>
      <c r="R37" s="34"/>
      <c r="S37" s="55"/>
      <c r="T37" s="34"/>
      <c r="U37" s="56" t="s">
        <v>78</v>
      </c>
      <c r="V37" s="56"/>
      <c r="W37" s="56"/>
      <c r="X37" s="34"/>
      <c r="Y37" s="56" t="s">
        <v>79</v>
      </c>
      <c r="Z37" s="57"/>
      <c r="AA37" s="58"/>
      <c r="AB37" s="76"/>
      <c r="AC37" s="88" t="s">
        <v>56</v>
      </c>
      <c r="AD37" s="89"/>
      <c r="AE37" s="90"/>
    </row>
    <row r="38" spans="1:31" s="76" customFormat="1" ht="12.95" customHeight="1" x14ac:dyDescent="0.2">
      <c r="A38" s="123" t="s">
        <v>80</v>
      </c>
      <c r="B38" s="117"/>
      <c r="C38" s="117"/>
      <c r="D38" s="2"/>
      <c r="E38" s="3"/>
      <c r="F38" s="130">
        <f t="shared" si="21"/>
        <v>0</v>
      </c>
      <c r="G38" s="130">
        <f t="shared" si="21"/>
        <v>0</v>
      </c>
      <c r="H38" s="130">
        <f t="shared" si="21"/>
        <v>0</v>
      </c>
      <c r="I38" s="130">
        <f t="shared" si="21"/>
        <v>0</v>
      </c>
      <c r="J38" s="130">
        <f t="shared" si="21"/>
        <v>0</v>
      </c>
      <c r="K38" s="130">
        <f t="shared" si="21"/>
        <v>0</v>
      </c>
      <c r="L38" s="130">
        <f t="shared" si="21"/>
        <v>0</v>
      </c>
      <c r="M38" s="130">
        <f t="shared" si="21"/>
        <v>0</v>
      </c>
      <c r="N38" s="89"/>
      <c r="P38" s="89"/>
      <c r="Q38" s="65" t="s">
        <v>44</v>
      </c>
      <c r="R38" s="34"/>
      <c r="S38" s="66" t="s">
        <v>58</v>
      </c>
      <c r="T38" s="34"/>
      <c r="U38" s="120">
        <f>V38-0.01</f>
        <v>1.9999999999999997E-2</v>
      </c>
      <c r="V38" s="120">
        <f>termgrowth</f>
        <v>0.03</v>
      </c>
      <c r="W38" s="120">
        <f>V38+0.01</f>
        <v>0.04</v>
      </c>
      <c r="X38" s="34"/>
      <c r="Y38" s="120">
        <f>Z38-0.01</f>
        <v>1.9999999999999997E-2</v>
      </c>
      <c r="Z38" s="120">
        <f>termgrowth</f>
        <v>0.03</v>
      </c>
      <c r="AA38" s="121">
        <f>Z38+0.01</f>
        <v>0.04</v>
      </c>
      <c r="AB38" s="3"/>
      <c r="AC38" s="122">
        <f>AD38-0.01</f>
        <v>1.9999999999999997E-2</v>
      </c>
      <c r="AD38" s="120">
        <f>termgrowth</f>
        <v>0.03</v>
      </c>
      <c r="AE38" s="121">
        <f>AD38+0.01</f>
        <v>0.04</v>
      </c>
    </row>
    <row r="39" spans="1:31" s="3" customFormat="1" ht="12.95" customHeight="1" x14ac:dyDescent="0.2">
      <c r="A39" s="123" t="s">
        <v>81</v>
      </c>
      <c r="B39" s="117"/>
      <c r="C39" s="117"/>
      <c r="D39" s="2"/>
      <c r="F39" s="130">
        <f>Assumptions!F50</f>
        <v>3.6166365280289332E-2</v>
      </c>
      <c r="G39" s="130">
        <f>Assumptions!G50</f>
        <v>0.16144402713156569</v>
      </c>
      <c r="H39" s="130">
        <f>Assumptions!H50</f>
        <v>0.20877081976934336</v>
      </c>
      <c r="I39" s="130">
        <f>Assumptions!I50</f>
        <v>2.2836409875501677E-2</v>
      </c>
      <c r="J39" s="130">
        <f>Assumptions!J50</f>
        <v>2.2836409875501677E-2</v>
      </c>
      <c r="K39" s="130">
        <f>Assumptions!K50</f>
        <v>2.2836409875501677E-2</v>
      </c>
      <c r="L39" s="130">
        <f>Assumptions!L50</f>
        <v>2.2836409875501677E-2</v>
      </c>
      <c r="M39" s="130">
        <f>Assumptions!M50</f>
        <v>2.2836409875501677E-2</v>
      </c>
      <c r="N39" s="89"/>
      <c r="P39" s="34"/>
      <c r="Q39" s="73">
        <f>Q40-0.005</f>
        <v>0.19</v>
      </c>
      <c r="R39" s="34"/>
      <c r="S39" s="74">
        <f>debt-cash</f>
        <v>-414.38400000000001</v>
      </c>
      <c r="T39" s="74"/>
      <c r="U39" s="74">
        <f t="shared" ref="U39:W43" si="22">Y30-$S39</f>
        <v>2769.8264928241279</v>
      </c>
      <c r="V39" s="74">
        <f t="shared" si="22"/>
        <v>2863.206241063142</v>
      </c>
      <c r="W39" s="74">
        <f t="shared" si="22"/>
        <v>2969.0366224006912</v>
      </c>
      <c r="X39" s="34"/>
      <c r="Y39" s="91">
        <f>U39/sharesout</f>
        <v>52.064407759852024</v>
      </c>
      <c r="Z39" s="91">
        <f t="shared" ref="Y39:AA43" si="23">V39/sharesout</f>
        <v>53.819666185397402</v>
      </c>
      <c r="AA39" s="92">
        <f t="shared" si="23"/>
        <v>55.80895906768216</v>
      </c>
      <c r="AC39" s="83">
        <f t="shared" ref="AC39:AE43" si="24">U30/Y30</f>
        <v>0.54369255508439374</v>
      </c>
      <c r="AD39" s="93">
        <f t="shared" si="24"/>
        <v>0.5610927050876493</v>
      </c>
      <c r="AE39" s="94">
        <f t="shared" si="24"/>
        <v>0.57927510921770897</v>
      </c>
    </row>
    <row r="40" spans="1:31" s="3" customFormat="1" ht="12.95" customHeight="1" x14ac:dyDescent="0.2">
      <c r="A40" s="123" t="s">
        <v>160</v>
      </c>
      <c r="B40" s="309"/>
      <c r="C40" s="89"/>
      <c r="D40" s="89"/>
      <c r="E40" s="132"/>
      <c r="F40" s="130">
        <f>Assumptions!F51</f>
        <v>-0.1992667641011667</v>
      </c>
      <c r="G40" s="130">
        <f>Assumptions!G51</f>
        <v>-0.22453052301137966</v>
      </c>
      <c r="H40" s="130">
        <f>Assumptions!H51</f>
        <v>-0.22619997371260545</v>
      </c>
      <c r="I40" s="130">
        <f>Assumptions!I51</f>
        <v>-0.22619997371260545</v>
      </c>
      <c r="J40" s="130">
        <f>Assumptions!J51</f>
        <v>-0.22619997371260545</v>
      </c>
      <c r="K40" s="130">
        <f>Assumptions!K51</f>
        <v>-0.22619997371260545</v>
      </c>
      <c r="L40" s="130">
        <f>Assumptions!L51</f>
        <v>-0.22619997371260545</v>
      </c>
      <c r="M40" s="130">
        <f>Assumptions!M51</f>
        <v>-0.22619997371260545</v>
      </c>
      <c r="N40" s="89"/>
      <c r="P40" s="34"/>
      <c r="Q40" s="73">
        <f>Q41-0.005</f>
        <v>0.19500000000000001</v>
      </c>
      <c r="R40" s="34"/>
      <c r="S40" s="81">
        <f>debt-cash</f>
        <v>-414.38400000000001</v>
      </c>
      <c r="T40" s="81"/>
      <c r="U40" s="81">
        <f t="shared" si="22"/>
        <v>2705.593930761609</v>
      </c>
      <c r="V40" s="81">
        <f t="shared" si="22"/>
        <v>2792.5656534514333</v>
      </c>
      <c r="W40" s="81">
        <f t="shared" si="22"/>
        <v>2890.7595339076865</v>
      </c>
      <c r="X40" s="34"/>
      <c r="Y40" s="95">
        <f>U40/sharesout</f>
        <v>50.857028773714454</v>
      </c>
      <c r="Z40" s="95">
        <f t="shared" si="23"/>
        <v>52.491835591192348</v>
      </c>
      <c r="AA40" s="96">
        <f t="shared" si="23"/>
        <v>54.33758522382869</v>
      </c>
      <c r="AC40" s="83">
        <f t="shared" si="24"/>
        <v>0.53460054866134044</v>
      </c>
      <c r="AD40" s="93">
        <f t="shared" si="24"/>
        <v>0.55162052354975111</v>
      </c>
      <c r="AE40" s="94">
        <f t="shared" si="24"/>
        <v>0.56939978202922636</v>
      </c>
    </row>
    <row r="41" spans="1:31" s="3" customFormat="1" ht="12.95" customHeight="1" x14ac:dyDescent="0.2">
      <c r="A41" s="89"/>
      <c r="B41" s="89"/>
      <c r="C41" s="89"/>
      <c r="D41" s="89"/>
      <c r="E41" s="89"/>
      <c r="F41" s="89"/>
      <c r="G41" s="89"/>
      <c r="H41" s="133"/>
      <c r="I41" s="89"/>
      <c r="J41" s="89"/>
      <c r="K41" s="89"/>
      <c r="L41" s="89"/>
      <c r="M41" s="89"/>
      <c r="N41" s="89"/>
      <c r="P41" s="34"/>
      <c r="Q41" s="83">
        <f>rate</f>
        <v>0.2</v>
      </c>
      <c r="R41" s="34"/>
      <c r="S41" s="81">
        <f>debt-cash</f>
        <v>-414.38400000000001</v>
      </c>
      <c r="T41" s="81"/>
      <c r="U41" s="81">
        <f t="shared" si="22"/>
        <v>2644.9485700645082</v>
      </c>
      <c r="V41" s="81">
        <f t="shared" si="22"/>
        <v>2726.0965383381445</v>
      </c>
      <c r="W41" s="81">
        <f t="shared" si="22"/>
        <v>2817.3880026459847</v>
      </c>
      <c r="X41" s="34"/>
      <c r="Y41" s="95">
        <f t="shared" si="23"/>
        <v>49.717078384671204</v>
      </c>
      <c r="Z41" s="95">
        <f t="shared" si="23"/>
        <v>51.242416134175642</v>
      </c>
      <c r="AA41" s="96">
        <f t="shared" si="23"/>
        <v>52.958421102368128</v>
      </c>
      <c r="AC41" s="83">
        <f t="shared" si="24"/>
        <v>0.52569118925802916</v>
      </c>
      <c r="AD41" s="93">
        <f t="shared" si="24"/>
        <v>0.5423408356512025</v>
      </c>
      <c r="AE41" s="94">
        <f t="shared" si="24"/>
        <v>0.55972756293975434</v>
      </c>
    </row>
    <row r="42" spans="1:31" s="3" customFormat="1" ht="12.95" customHeight="1" x14ac:dyDescent="0.2">
      <c r="A42" s="89"/>
      <c r="B42" s="89"/>
      <c r="C42" s="89"/>
      <c r="D42" s="89"/>
      <c r="E42" s="135"/>
      <c r="F42" s="89"/>
      <c r="G42" s="136"/>
      <c r="H42" s="89"/>
      <c r="I42" s="135"/>
      <c r="J42" s="132"/>
      <c r="K42" s="134"/>
      <c r="L42" s="89"/>
      <c r="M42" s="137"/>
      <c r="N42" s="89"/>
      <c r="P42" s="34"/>
      <c r="Q42" s="73">
        <f>Q41+0.005</f>
        <v>0.20500000000000002</v>
      </c>
      <c r="R42" s="34"/>
      <c r="S42" s="81">
        <f>debt-cash</f>
        <v>-414.38400000000001</v>
      </c>
      <c r="T42" s="81"/>
      <c r="U42" s="81">
        <f t="shared" si="22"/>
        <v>2587.5989732432604</v>
      </c>
      <c r="V42" s="81">
        <f t="shared" si="22"/>
        <v>2663.4407834709941</v>
      </c>
      <c r="W42" s="81">
        <f t="shared" si="22"/>
        <v>2748.475540392998</v>
      </c>
      <c r="X42" s="34"/>
      <c r="Y42" s="95">
        <f t="shared" si="23"/>
        <v>48.639078444422182</v>
      </c>
      <c r="Z42" s="95">
        <f t="shared" si="23"/>
        <v>50.064676381033721</v>
      </c>
      <c r="AA42" s="96">
        <f t="shared" si="23"/>
        <v>51.663074067537551</v>
      </c>
      <c r="AC42" s="83">
        <f t="shared" si="24"/>
        <v>0.51696027930426691</v>
      </c>
      <c r="AD42" s="93">
        <f t="shared" si="24"/>
        <v>0.53324915520046579</v>
      </c>
      <c r="AE42" s="94">
        <f t="shared" si="24"/>
        <v>0.55025364878771632</v>
      </c>
    </row>
    <row r="43" spans="1:31" s="3" customFormat="1" ht="12.95" customHeight="1" x14ac:dyDescent="0.2">
      <c r="A43" s="89"/>
      <c r="B43" s="89"/>
      <c r="C43" s="89"/>
      <c r="D43" s="89"/>
      <c r="E43" s="138"/>
      <c r="F43" s="89"/>
      <c r="G43" s="139"/>
      <c r="H43" s="140"/>
      <c r="I43" s="138"/>
      <c r="J43" s="89"/>
      <c r="K43" s="89"/>
      <c r="L43" s="89"/>
      <c r="M43" s="139"/>
      <c r="N43" s="89"/>
      <c r="O43" s="141"/>
      <c r="P43" s="34"/>
      <c r="Q43" s="106">
        <f>Q42+0.005</f>
        <v>0.21000000000000002</v>
      </c>
      <c r="R43" s="107"/>
      <c r="S43" s="108">
        <f>debt-cash</f>
        <v>-414.38400000000001</v>
      </c>
      <c r="T43" s="108"/>
      <c r="U43" s="108">
        <f t="shared" si="22"/>
        <v>2533.2843984811952</v>
      </c>
      <c r="V43" s="108">
        <f t="shared" si="22"/>
        <v>2604.2800847071003</v>
      </c>
      <c r="W43" s="108">
        <f t="shared" si="22"/>
        <v>2683.6282046066412</v>
      </c>
      <c r="X43" s="107"/>
      <c r="Y43" s="109">
        <f t="shared" si="23"/>
        <v>47.618127790999907</v>
      </c>
      <c r="Z43" s="109">
        <f t="shared" si="23"/>
        <v>48.952633171186093</v>
      </c>
      <c r="AA43" s="110">
        <f t="shared" si="23"/>
        <v>50.444139184335356</v>
      </c>
      <c r="AC43" s="111">
        <f t="shared" si="24"/>
        <v>0.50840372654551891</v>
      </c>
      <c r="AD43" s="112">
        <f t="shared" si="24"/>
        <v>0.52434111052630561</v>
      </c>
      <c r="AE43" s="113">
        <f t="shared" si="24"/>
        <v>0.5409733612627502</v>
      </c>
    </row>
    <row r="44" spans="1:31" s="3" customFormat="1" ht="6.75" customHeight="1" x14ac:dyDescent="0.2">
      <c r="A44" s="89"/>
      <c r="B44" s="89"/>
      <c r="C44" s="89"/>
      <c r="D44" s="89"/>
      <c r="E44" s="132"/>
      <c r="F44" s="89"/>
      <c r="G44" s="142"/>
      <c r="H44" s="143"/>
      <c r="I44" s="132"/>
      <c r="J44" s="132"/>
      <c r="K44" s="134"/>
      <c r="L44" s="89"/>
      <c r="M44" s="142"/>
      <c r="N44" s="89"/>
      <c r="O44" s="141"/>
      <c r="P44" s="34"/>
    </row>
    <row r="45" spans="1:31" ht="12.95" customHeight="1" x14ac:dyDescent="0.2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</row>
  </sheetData>
  <protectedRanges>
    <protectedRange sqref="M42" name="Range1_1"/>
    <protectedRange sqref="G42" name="Range1_2"/>
  </protectedRanges>
  <conditionalFormatting sqref="M43:M44 G43:G44">
    <cfRule type="cellIs" dxfId="0" priority="1" stopIfTrue="1" operator="equal">
      <formula>0.000001</formula>
    </cfRule>
  </conditionalFormatting>
  <printOptions horizontalCentered="1"/>
  <pageMargins left="0.5" right="0.5" top="0.7" bottom="0.65" header="0.25" footer="0.25"/>
  <pageSetup scale="75" fitToWidth="2" orientation="landscape" r:id="rId1"/>
  <headerFooter alignWithMargins="0"/>
  <colBreaks count="1" manualBreakCount="1">
    <brk id="16" max="43" man="1"/>
  </colBreak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L51"/>
  <sheetViews>
    <sheetView showGridLines="0" zoomScale="80" zoomScaleNormal="80" workbookViewId="0">
      <selection activeCell="L9" sqref="L9"/>
    </sheetView>
  </sheetViews>
  <sheetFormatPr defaultRowHeight="12.95" customHeight="1" x14ac:dyDescent="0.2"/>
  <cols>
    <col min="1" max="1" width="2.42578125" customWidth="1"/>
    <col min="2" max="2" width="1.7109375" customWidth="1"/>
    <col min="3" max="5" width="8.28515625" customWidth="1"/>
    <col min="6" max="13" width="13.7109375" bestFit="1" customWidth="1"/>
    <col min="14" max="14" width="14.42578125" customWidth="1"/>
    <col min="15" max="15" width="13.7109375" bestFit="1" customWidth="1"/>
    <col min="16" max="16" width="2.7109375" customWidth="1"/>
    <col min="17" max="17" width="10.7109375" customWidth="1"/>
    <col min="26" max="26" width="25.5703125" customWidth="1"/>
    <col min="27" max="27" width="1.7109375" customWidth="1"/>
    <col min="29" max="29" width="40" customWidth="1"/>
    <col min="30" max="30" width="1.7109375" customWidth="1"/>
    <col min="32" max="32" width="54.42578125" customWidth="1"/>
  </cols>
  <sheetData>
    <row r="1" spans="1:26" s="145" customFormat="1" ht="18.75" thickBot="1" x14ac:dyDescent="0.3">
      <c r="A1" s="144" t="str">
        <f>"Assumptions for "&amp;Name</f>
        <v>Assumptions for Changyou.com, Ltd.</v>
      </c>
      <c r="P1" s="146"/>
      <c r="Q1" s="146"/>
      <c r="S1" s="147"/>
      <c r="U1" s="148"/>
    </row>
    <row r="2" spans="1:26" s="145" customFormat="1" ht="12.75" x14ac:dyDescent="0.2">
      <c r="A2" s="149" t="str">
        <f>Subheader</f>
        <v>Dollars in millions, except per share</v>
      </c>
      <c r="B2" s="150"/>
      <c r="C2" s="150"/>
      <c r="D2" s="150"/>
      <c r="E2" s="150"/>
      <c r="F2" s="150"/>
      <c r="G2" s="150"/>
      <c r="H2" s="150"/>
      <c r="I2" s="150"/>
      <c r="J2" s="151"/>
      <c r="K2" s="150"/>
      <c r="L2" s="150"/>
      <c r="M2" s="150"/>
      <c r="N2" s="150"/>
      <c r="O2" s="150"/>
      <c r="P2" s="150"/>
      <c r="Q2" s="150"/>
      <c r="S2" s="147"/>
      <c r="U2" s="152"/>
      <c r="V2" s="152"/>
      <c r="W2" s="152"/>
      <c r="X2" s="152"/>
      <c r="Y2" s="152"/>
      <c r="Z2" s="152"/>
    </row>
    <row r="3" spans="1:26" s="145" customFormat="1" ht="12.75" x14ac:dyDescent="0.2">
      <c r="A3" s="153"/>
      <c r="B3" s="133"/>
      <c r="C3" s="133"/>
      <c r="D3" s="133"/>
      <c r="E3" s="133"/>
      <c r="F3" s="133"/>
      <c r="G3" s="133"/>
      <c r="H3" s="133"/>
      <c r="I3" s="133"/>
      <c r="J3" s="154"/>
      <c r="K3" s="133"/>
      <c r="L3" s="133"/>
      <c r="M3" s="133"/>
      <c r="N3" s="133"/>
      <c r="O3" s="133"/>
      <c r="P3" s="133"/>
      <c r="Q3" s="133"/>
      <c r="S3" s="147"/>
      <c r="U3" s="152"/>
      <c r="V3" s="152"/>
      <c r="W3" s="152"/>
      <c r="X3" s="152"/>
      <c r="Y3" s="152"/>
      <c r="Z3" s="152"/>
    </row>
    <row r="4" spans="1:26" s="145" customFormat="1" ht="12.75" x14ac:dyDescent="0.2">
      <c r="A4" s="155" t="s">
        <v>82</v>
      </c>
      <c r="B4" s="156"/>
      <c r="C4" s="156"/>
      <c r="D4" s="156"/>
      <c r="E4" s="156"/>
      <c r="F4" s="157" t="s">
        <v>83</v>
      </c>
      <c r="G4" s="156"/>
      <c r="H4" s="156"/>
      <c r="I4" s="157" t="s">
        <v>84</v>
      </c>
      <c r="J4" s="157" t="s">
        <v>82</v>
      </c>
      <c r="K4" s="156"/>
      <c r="L4" s="157" t="s">
        <v>83</v>
      </c>
      <c r="M4" s="156"/>
      <c r="N4" s="156"/>
      <c r="O4" s="158" t="s">
        <v>84</v>
      </c>
      <c r="S4" s="147"/>
      <c r="U4" s="152"/>
      <c r="V4" s="152"/>
      <c r="W4" s="152"/>
      <c r="X4" s="152"/>
      <c r="Y4" s="152"/>
      <c r="Z4" s="152"/>
    </row>
    <row r="5" spans="1:26" s="145" customFormat="1" ht="15" x14ac:dyDescent="0.2">
      <c r="A5" s="159" t="s">
        <v>85</v>
      </c>
      <c r="B5" s="160"/>
      <c r="C5" s="160"/>
      <c r="D5" s="160"/>
      <c r="E5" s="160"/>
      <c r="F5" s="161" t="s">
        <v>157</v>
      </c>
      <c r="G5" s="160"/>
      <c r="H5" s="160"/>
      <c r="I5" s="162" t="s">
        <v>86</v>
      </c>
      <c r="J5" s="163" t="s">
        <v>87</v>
      </c>
      <c r="K5" s="160"/>
      <c r="L5" s="164">
        <v>27.26</v>
      </c>
      <c r="M5" s="160"/>
      <c r="N5" s="160"/>
      <c r="O5" s="162" t="s">
        <v>88</v>
      </c>
      <c r="S5" s="147"/>
      <c r="U5" s="152"/>
      <c r="V5" s="152"/>
      <c r="W5" s="152"/>
      <c r="X5" s="152"/>
      <c r="Y5" s="152"/>
      <c r="Z5" s="152"/>
    </row>
    <row r="6" spans="1:26" s="145" customFormat="1" ht="15" x14ac:dyDescent="0.2">
      <c r="A6" s="165" t="s">
        <v>89</v>
      </c>
      <c r="B6" s="166"/>
      <c r="C6" s="166"/>
      <c r="D6" s="166"/>
      <c r="E6" s="166"/>
      <c r="F6" s="167" t="s">
        <v>90</v>
      </c>
      <c r="G6" s="166"/>
      <c r="H6" s="166"/>
      <c r="I6" s="168" t="s">
        <v>91</v>
      </c>
      <c r="J6" s="89" t="s">
        <v>92</v>
      </c>
      <c r="K6" s="166"/>
      <c r="L6" s="169">
        <v>53.2</v>
      </c>
      <c r="M6" s="166"/>
      <c r="N6" s="166"/>
      <c r="O6" s="168" t="s">
        <v>93</v>
      </c>
      <c r="P6" s="170"/>
      <c r="Q6" s="166"/>
      <c r="S6" s="147"/>
      <c r="U6" s="152"/>
      <c r="V6" s="152"/>
      <c r="W6" s="152"/>
      <c r="X6" s="152"/>
      <c r="Y6" s="152"/>
      <c r="Z6" s="152"/>
    </row>
    <row r="7" spans="1:26" s="145" customFormat="1" ht="15" x14ac:dyDescent="0.2">
      <c r="A7" s="165" t="s">
        <v>94</v>
      </c>
      <c r="B7" s="166"/>
      <c r="C7" s="166"/>
      <c r="D7" s="166"/>
      <c r="E7" s="166"/>
      <c r="F7" s="171">
        <v>40543</v>
      </c>
      <c r="G7" s="170"/>
      <c r="H7" s="166"/>
      <c r="I7" s="168" t="s">
        <v>95</v>
      </c>
      <c r="J7" s="89" t="s">
        <v>96</v>
      </c>
      <c r="K7" s="166"/>
      <c r="L7" s="172">
        <v>0</v>
      </c>
      <c r="M7" s="166"/>
      <c r="N7" s="166"/>
      <c r="O7" s="168" t="s">
        <v>97</v>
      </c>
      <c r="S7" s="147"/>
      <c r="U7" s="152"/>
      <c r="V7" s="152"/>
      <c r="W7" s="152"/>
      <c r="X7" s="152"/>
      <c r="Y7" s="152"/>
      <c r="Z7" s="152"/>
    </row>
    <row r="8" spans="1:26" s="145" customFormat="1" ht="15" x14ac:dyDescent="0.2">
      <c r="A8" s="165" t="s">
        <v>98</v>
      </c>
      <c r="B8" s="166"/>
      <c r="C8" s="166"/>
      <c r="D8" s="166"/>
      <c r="E8" s="166"/>
      <c r="F8" s="173">
        <v>0.115</v>
      </c>
      <c r="G8" s="170"/>
      <c r="H8" s="166"/>
      <c r="I8" s="168" t="s">
        <v>99</v>
      </c>
      <c r="J8" s="89" t="s">
        <v>100</v>
      </c>
      <c r="K8" s="133"/>
      <c r="L8" s="172">
        <v>0</v>
      </c>
      <c r="M8" s="133"/>
      <c r="N8" s="133"/>
      <c r="O8" s="90" t="s">
        <v>101</v>
      </c>
      <c r="S8" s="147"/>
      <c r="U8" s="152"/>
      <c r="V8" s="152"/>
      <c r="W8" s="152"/>
      <c r="X8" s="152"/>
      <c r="Y8" s="152"/>
      <c r="Z8" s="152"/>
    </row>
    <row r="9" spans="1:26" s="145" customFormat="1" ht="15" x14ac:dyDescent="0.2">
      <c r="A9" s="165" t="s">
        <v>102</v>
      </c>
      <c r="B9" s="166"/>
      <c r="C9" s="166"/>
      <c r="D9" s="166"/>
      <c r="E9" s="166"/>
      <c r="F9" s="171">
        <v>40834</v>
      </c>
      <c r="G9" s="170"/>
      <c r="H9" s="166"/>
      <c r="I9" s="168" t="s">
        <v>103</v>
      </c>
      <c r="J9" s="89" t="s">
        <v>104</v>
      </c>
      <c r="K9" s="133"/>
      <c r="L9" s="172">
        <f>53.577</f>
        <v>53.576999999999998</v>
      </c>
      <c r="M9" s="133"/>
      <c r="N9" s="133"/>
      <c r="O9" s="90" t="s">
        <v>105</v>
      </c>
      <c r="S9" s="147"/>
      <c r="U9" s="152"/>
      <c r="V9" s="152"/>
      <c r="W9" s="152"/>
      <c r="X9" s="152"/>
      <c r="Y9" s="152"/>
      <c r="Z9" s="152"/>
    </row>
    <row r="10" spans="1:26" s="145" customFormat="1" ht="15" x14ac:dyDescent="0.2">
      <c r="A10" s="165" t="s">
        <v>106</v>
      </c>
      <c r="B10" s="166"/>
      <c r="C10" s="166"/>
      <c r="D10" s="166"/>
      <c r="E10" s="166"/>
      <c r="F10" s="173">
        <v>0.03</v>
      </c>
      <c r="G10" s="170"/>
      <c r="H10" s="166"/>
      <c r="I10" s="168" t="s">
        <v>107</v>
      </c>
      <c r="J10" s="89" t="s">
        <v>108</v>
      </c>
      <c r="K10" s="166"/>
      <c r="L10" s="172">
        <v>414.38400000000001</v>
      </c>
      <c r="M10" s="170"/>
      <c r="N10" s="166"/>
      <c r="O10" s="168" t="s">
        <v>109</v>
      </c>
      <c r="S10" s="147"/>
      <c r="U10" s="152"/>
      <c r="V10" s="152"/>
      <c r="W10" s="152"/>
      <c r="X10" s="152"/>
      <c r="Y10" s="152"/>
      <c r="Z10" s="152"/>
    </row>
    <row r="11" spans="1:26" s="145" customFormat="1" ht="15" x14ac:dyDescent="0.2">
      <c r="A11" s="165" t="s">
        <v>110</v>
      </c>
      <c r="B11" s="133"/>
      <c r="C11" s="133"/>
      <c r="D11" s="133"/>
      <c r="E11" s="133"/>
      <c r="F11" s="173">
        <v>0.2</v>
      </c>
      <c r="G11" s="133"/>
      <c r="H11" s="133"/>
      <c r="I11" s="174" t="s">
        <v>111</v>
      </c>
      <c r="J11" s="89" t="s">
        <v>112</v>
      </c>
      <c r="K11" s="166"/>
      <c r="L11" s="175">
        <v>52</v>
      </c>
      <c r="M11" s="170"/>
      <c r="N11" s="166"/>
      <c r="O11" s="168" t="s">
        <v>113</v>
      </c>
      <c r="S11" s="147"/>
      <c r="U11" s="152"/>
      <c r="V11" s="152"/>
      <c r="W11" s="152"/>
      <c r="X11" s="152"/>
      <c r="Y11" s="152"/>
      <c r="Z11" s="152"/>
    </row>
    <row r="12" spans="1:26" s="145" customFormat="1" ht="15" x14ac:dyDescent="0.2">
      <c r="A12" s="165" t="s">
        <v>114</v>
      </c>
      <c r="B12" s="166"/>
      <c r="C12" s="166"/>
      <c r="D12" s="166"/>
      <c r="E12" s="166"/>
      <c r="F12" s="176">
        <v>5</v>
      </c>
      <c r="G12" s="170"/>
      <c r="H12" s="166"/>
      <c r="I12" s="168" t="s">
        <v>115</v>
      </c>
      <c r="J12" s="89" t="s">
        <v>116</v>
      </c>
      <c r="K12" s="166"/>
      <c r="L12" s="175">
        <v>22.81</v>
      </c>
      <c r="M12" s="170"/>
      <c r="N12" s="166"/>
      <c r="O12" s="168" t="s">
        <v>117</v>
      </c>
      <c r="S12" s="147"/>
      <c r="U12" s="152"/>
      <c r="V12" s="152"/>
      <c r="W12" s="152"/>
      <c r="X12" s="152"/>
      <c r="Y12" s="152"/>
      <c r="Z12" s="152"/>
    </row>
    <row r="13" spans="1:26" s="145" customFormat="1" ht="15" x14ac:dyDescent="0.2">
      <c r="A13" s="304" t="s">
        <v>153</v>
      </c>
      <c r="B13" s="177"/>
      <c r="C13" s="177"/>
      <c r="D13" s="177"/>
      <c r="E13" s="177"/>
      <c r="F13" s="305">
        <v>0</v>
      </c>
      <c r="G13" s="178"/>
      <c r="H13" s="177"/>
      <c r="I13" s="179" t="s">
        <v>154</v>
      </c>
      <c r="J13" s="180" t="s">
        <v>118</v>
      </c>
      <c r="K13" s="177"/>
      <c r="L13" s="181">
        <v>40</v>
      </c>
      <c r="M13" s="178"/>
      <c r="N13" s="177"/>
      <c r="O13" s="179" t="s">
        <v>119</v>
      </c>
      <c r="S13" s="147"/>
      <c r="U13" s="152"/>
      <c r="V13" s="152"/>
      <c r="W13" s="152"/>
      <c r="X13" s="152"/>
      <c r="Y13" s="152"/>
      <c r="Z13" s="152"/>
    </row>
    <row r="14" spans="1:26" s="145" customFormat="1" ht="12.75" x14ac:dyDescent="0.2">
      <c r="G14" s="182"/>
      <c r="I14" s="183"/>
      <c r="N14" s="184" t="str">
        <f>H16&amp;" - "&amp;M16</f>
        <v>2010 - 2015</v>
      </c>
      <c r="S14"/>
      <c r="T14"/>
      <c r="U14" s="152"/>
      <c r="V14" s="152"/>
      <c r="W14" s="152"/>
      <c r="X14" s="152"/>
      <c r="Y14" s="152"/>
      <c r="Z14" s="152"/>
    </row>
    <row r="15" spans="1:26" s="145" customFormat="1" ht="12.75" x14ac:dyDescent="0.2">
      <c r="F15" s="185" t="str">
        <f>"Historical Year Ending "&amp;TEXT(FYE,"Mmmm Dd,")</f>
        <v>Historical Year Ending December 31,</v>
      </c>
      <c r="G15" s="185"/>
      <c r="H15" s="185"/>
      <c r="I15" s="45" t="str">
        <f>"Projected Year Ending "&amp;TEXT(FYE,"Mmmm Dd,")</f>
        <v>Projected Year Ending December 31,</v>
      </c>
      <c r="J15" s="185"/>
      <c r="K15" s="185"/>
      <c r="L15" s="185"/>
      <c r="M15" s="185"/>
      <c r="N15" s="186" t="s">
        <v>38</v>
      </c>
      <c r="S15"/>
      <c r="T15"/>
      <c r="U15"/>
    </row>
    <row r="16" spans="1:26" s="145" customFormat="1" ht="12.75" x14ac:dyDescent="0.2">
      <c r="B16"/>
      <c r="C16"/>
      <c r="D16"/>
      <c r="F16" s="187">
        <f>G16-1</f>
        <v>2008</v>
      </c>
      <c r="G16" s="187">
        <f>H16-1</f>
        <v>2009</v>
      </c>
      <c r="H16" s="188">
        <f>YEAR(FYE)</f>
        <v>2010</v>
      </c>
      <c r="I16" s="189">
        <f>H16+1</f>
        <v>2011</v>
      </c>
      <c r="J16" s="189">
        <f>I16+1</f>
        <v>2012</v>
      </c>
      <c r="K16" s="189">
        <f>J16+1</f>
        <v>2013</v>
      </c>
      <c r="L16" s="189">
        <f>K16+1</f>
        <v>2014</v>
      </c>
      <c r="M16" s="189">
        <f>L16+1</f>
        <v>2015</v>
      </c>
      <c r="S16" s="147"/>
    </row>
    <row r="17" spans="1:246" s="145" customFormat="1" ht="12.75" x14ac:dyDescent="0.2">
      <c r="F17" s="133"/>
      <c r="G17" s="190"/>
      <c r="H17" s="191"/>
      <c r="S17" s="147"/>
      <c r="Y17" s="193"/>
      <c r="AE17" s="193"/>
    </row>
    <row r="18" spans="1:246" s="145" customFormat="1" ht="12.75" x14ac:dyDescent="0.2">
      <c r="A18" s="145" t="s">
        <v>43</v>
      </c>
      <c r="D18" s="193"/>
      <c r="E18"/>
      <c r="F18" s="194">
        <v>201.845</v>
      </c>
      <c r="G18" s="194">
        <v>267.58499999999998</v>
      </c>
      <c r="H18" s="195">
        <v>327.15300000000002</v>
      </c>
      <c r="I18" s="196">
        <f>H18*(1+I42)</f>
        <v>439.36484000000002</v>
      </c>
      <c r="J18" s="196">
        <f>I18*(1+J42)</f>
        <v>543.12949999993475</v>
      </c>
      <c r="K18" s="196">
        <f>J18*(1+K42)</f>
        <v>634.1788299998359</v>
      </c>
      <c r="L18" s="196">
        <f>K18*(1+L42)</f>
        <v>697.59671299981949</v>
      </c>
      <c r="M18" s="196">
        <f>L18*(1+M42)</f>
        <v>739.45251577980866</v>
      </c>
      <c r="N18" s="197">
        <f>(M18/H18)^(1/(COUNT(H$16:M$16)-1))-1</f>
        <v>0.17715018914797342</v>
      </c>
      <c r="S18" s="147"/>
      <c r="T18" s="198"/>
    </row>
    <row r="19" spans="1:246" s="145" customFormat="1" ht="12.75" x14ac:dyDescent="0.2">
      <c r="B19" s="199" t="s">
        <v>45</v>
      </c>
      <c r="C19" s="200"/>
      <c r="D19" s="201"/>
      <c r="E19" s="202"/>
      <c r="F19" s="194"/>
      <c r="G19" s="203">
        <f t="shared" ref="G19:M19" si="0">G18/F18-1</f>
        <v>0.3256954593871535</v>
      </c>
      <c r="H19" s="204">
        <f t="shared" si="0"/>
        <v>0.22261337518919233</v>
      </c>
      <c r="I19" s="205">
        <f t="shared" si="0"/>
        <v>0.34299499011166024</v>
      </c>
      <c r="J19" s="205">
        <f t="shared" si="0"/>
        <v>0.23616969441599989</v>
      </c>
      <c r="K19" s="205">
        <f t="shared" si="0"/>
        <v>0.16763834407800005</v>
      </c>
      <c r="L19" s="205">
        <f t="shared" si="0"/>
        <v>0.10000000000000009</v>
      </c>
      <c r="M19" s="205">
        <f t="shared" si="0"/>
        <v>6.0000000000000053E-2</v>
      </c>
      <c r="N19" s="197"/>
      <c r="O19" s="205"/>
      <c r="S19" s="147"/>
      <c r="T19" s="198"/>
    </row>
    <row r="20" spans="1:246" s="145" customFormat="1" ht="9.75" customHeight="1" x14ac:dyDescent="0.2">
      <c r="B20" s="199"/>
      <c r="C20" s="200"/>
      <c r="D20" s="201"/>
      <c r="E20" s="202"/>
      <c r="F20" s="194"/>
      <c r="G20" s="203"/>
      <c r="H20" s="204"/>
      <c r="I20" s="205"/>
      <c r="J20" s="205"/>
      <c r="K20" s="205"/>
      <c r="L20" s="205"/>
      <c r="M20" s="205"/>
      <c r="N20" s="197"/>
      <c r="S20" s="147"/>
      <c r="T20" s="198"/>
    </row>
    <row r="21" spans="1:246" s="145" customFormat="1" ht="12.75" x14ac:dyDescent="0.2">
      <c r="A21" s="192" t="s">
        <v>120</v>
      </c>
      <c r="E21"/>
      <c r="F21" s="206">
        <v>14.632999999999999</v>
      </c>
      <c r="G21" s="206">
        <v>17.518000000000001</v>
      </c>
      <c r="H21" s="207">
        <v>29.852</v>
      </c>
      <c r="I21" s="208">
        <f>I18*(1-I43)</f>
        <v>40.091086444813271</v>
      </c>
      <c r="J21" s="208">
        <f>J18*(1-J43)</f>
        <v>49.559386079290263</v>
      </c>
      <c r="K21" s="208">
        <f>K18*(1-K43)</f>
        <v>57.867439495144765</v>
      </c>
      <c r="L21" s="208">
        <f>L18*(1-L43)</f>
        <v>63.654183444659239</v>
      </c>
      <c r="M21" s="208">
        <f>M18*(1-M43)</f>
        <v>67.47343445133879</v>
      </c>
      <c r="N21" s="209"/>
      <c r="S21" s="147"/>
      <c r="T21" s="198"/>
    </row>
    <row r="22" spans="1:246" s="145" customFormat="1" ht="12.75" x14ac:dyDescent="0.2">
      <c r="A22" s="76"/>
      <c r="B22" s="76" t="s">
        <v>121</v>
      </c>
      <c r="E22"/>
      <c r="F22" s="210">
        <f>F18-F21</f>
        <v>187.21199999999999</v>
      </c>
      <c r="G22" s="210">
        <f t="shared" ref="G22:M22" si="1">G18-G21</f>
        <v>250.06699999999998</v>
      </c>
      <c r="H22" s="211">
        <f t="shared" si="1"/>
        <v>297.30100000000004</v>
      </c>
      <c r="I22" s="210">
        <f>I18-I21</f>
        <v>399.27375355518677</v>
      </c>
      <c r="J22" s="210">
        <f t="shared" si="1"/>
        <v>493.57011392064447</v>
      </c>
      <c r="K22" s="210">
        <f t="shared" si="1"/>
        <v>576.31139050469119</v>
      </c>
      <c r="L22" s="210">
        <f t="shared" si="1"/>
        <v>633.94252955516026</v>
      </c>
      <c r="M22" s="210">
        <f t="shared" si="1"/>
        <v>671.97908132846987</v>
      </c>
      <c r="N22" s="197">
        <f>(M22/H22)^(1/(COUNT(H$16:M$16)-1))-1</f>
        <v>0.17715018914797342</v>
      </c>
      <c r="S22" s="212"/>
      <c r="T22" s="213"/>
      <c r="U22"/>
    </row>
    <row r="23" spans="1:246" s="145" customFormat="1" ht="12.75" x14ac:dyDescent="0.2">
      <c r="A23" s="76"/>
      <c r="B23" s="214" t="s">
        <v>122</v>
      </c>
      <c r="E23"/>
      <c r="F23" s="215">
        <f t="shared" ref="F23:M23" si="2">F22/F18</f>
        <v>0.92750377765116787</v>
      </c>
      <c r="G23" s="215">
        <f t="shared" si="2"/>
        <v>0.93453295214604704</v>
      </c>
      <c r="H23" s="216">
        <f t="shared" si="2"/>
        <v>0.90875217405923225</v>
      </c>
      <c r="I23" s="215">
        <f t="shared" si="2"/>
        <v>0.90875217405923236</v>
      </c>
      <c r="J23" s="215">
        <f t="shared" si="2"/>
        <v>0.90875217405923225</v>
      </c>
      <c r="K23" s="215">
        <f t="shared" si="2"/>
        <v>0.90875217405923236</v>
      </c>
      <c r="L23" s="215">
        <f t="shared" si="2"/>
        <v>0.90875217405923225</v>
      </c>
      <c r="M23" s="215">
        <f t="shared" si="2"/>
        <v>0.90875217405923225</v>
      </c>
      <c r="N23" s="197"/>
      <c r="S23" s="212"/>
      <c r="T23" s="213"/>
      <c r="U23"/>
    </row>
    <row r="24" spans="1:246" s="145" customFormat="1" ht="12.75" x14ac:dyDescent="0.2">
      <c r="A24" s="76"/>
      <c r="D24" s="147"/>
      <c r="E24"/>
      <c r="F24" s="217"/>
      <c r="G24" s="217"/>
      <c r="H24" s="218"/>
      <c r="I24" s="208"/>
      <c r="J24" s="208"/>
      <c r="K24" s="208"/>
      <c r="L24" s="208"/>
      <c r="M24" s="208"/>
      <c r="N24" s="214"/>
      <c r="S24" s="212"/>
      <c r="T24" s="213"/>
      <c r="U24"/>
    </row>
    <row r="25" spans="1:246" s="145" customFormat="1" ht="12.75" x14ac:dyDescent="0.2">
      <c r="A25" s="192" t="s">
        <v>123</v>
      </c>
      <c r="D25"/>
      <c r="E25"/>
      <c r="F25" s="206">
        <v>47.97</v>
      </c>
      <c r="G25" s="206">
        <v>58.807000000000002</v>
      </c>
      <c r="H25" s="206">
        <v>58.534999999999997</v>
      </c>
      <c r="I25" s="219">
        <f t="shared" ref="I25:M26" si="3">I$18*I44</f>
        <v>100.58045374618604</v>
      </c>
      <c r="J25" s="217">
        <f t="shared" si="3"/>
        <v>124.33450877164542</v>
      </c>
      <c r="K25" s="217">
        <f t="shared" si="3"/>
        <v>145.17773993387561</v>
      </c>
      <c r="L25" s="217">
        <f t="shared" si="3"/>
        <v>159.69551392726319</v>
      </c>
      <c r="M25" s="217">
        <f t="shared" si="3"/>
        <v>169.27724476289899</v>
      </c>
      <c r="N25" s="214"/>
      <c r="S25" s="147"/>
      <c r="T25" s="213"/>
      <c r="U25"/>
    </row>
    <row r="26" spans="1:246" s="145" customFormat="1" ht="12.75" x14ac:dyDescent="0.2">
      <c r="A26" s="192" t="s">
        <v>124</v>
      </c>
      <c r="B26" s="192"/>
      <c r="C26" s="192"/>
      <c r="D26" s="192"/>
      <c r="E26" s="192"/>
      <c r="F26" s="206">
        <v>23.861999999999998</v>
      </c>
      <c r="G26" s="206">
        <v>27.353000000000002</v>
      </c>
      <c r="H26" s="206">
        <v>34.969000000000001</v>
      </c>
      <c r="I26" s="219">
        <f t="shared" si="3"/>
        <v>46.963191809214649</v>
      </c>
      <c r="J26" s="217">
        <f t="shared" si="3"/>
        <v>58.054474467596869</v>
      </c>
      <c r="K26" s="217">
        <f t="shared" si="3"/>
        <v>67.786630433663333</v>
      </c>
      <c r="L26" s="217">
        <f t="shared" si="3"/>
        <v>74.56529347702967</v>
      </c>
      <c r="M26" s="217">
        <f t="shared" si="3"/>
        <v>79.039211085651445</v>
      </c>
      <c r="N26" s="209"/>
      <c r="P26" s="192"/>
      <c r="S26" s="220"/>
      <c r="T26" s="220"/>
      <c r="U26" s="220"/>
      <c r="V26" s="220"/>
      <c r="W26" s="220"/>
      <c r="X26" s="220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</row>
    <row r="27" spans="1:246" s="145" customFormat="1" ht="12.75" x14ac:dyDescent="0.2">
      <c r="A27" s="192" t="s">
        <v>125</v>
      </c>
      <c r="B27" s="192"/>
      <c r="C27" s="192"/>
      <c r="D27" s="192"/>
      <c r="E27" s="192"/>
      <c r="F27" s="221">
        <f t="shared" ref="F27:M27" si="4">F32</f>
        <v>2.3660000000000001</v>
      </c>
      <c r="G27" s="221">
        <f t="shared" si="4"/>
        <v>3.5009999999999999</v>
      </c>
      <c r="H27" s="221">
        <f t="shared" si="4"/>
        <v>7.4710000000000001</v>
      </c>
      <c r="I27" s="222">
        <f>I32</f>
        <v>10.033515571124214</v>
      </c>
      <c r="J27" s="221">
        <f>J32</f>
        <v>12.403127877474798</v>
      </c>
      <c r="K27" s="221">
        <f t="shared" si="4"/>
        <v>14.482367696242351</v>
      </c>
      <c r="L27" s="221">
        <f t="shared" si="4"/>
        <v>15.930604465866587</v>
      </c>
      <c r="M27" s="221">
        <f t="shared" si="4"/>
        <v>16.886440733818581</v>
      </c>
      <c r="N27" s="209"/>
      <c r="P27" s="192"/>
      <c r="S27" s="220"/>
      <c r="T27" s="220"/>
      <c r="U27" s="220"/>
      <c r="V27" s="220"/>
      <c r="W27" s="220"/>
      <c r="X27" s="220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</row>
    <row r="28" spans="1:246" s="145" customFormat="1" ht="12.75" x14ac:dyDescent="0.2">
      <c r="A28" s="192" t="s">
        <v>126</v>
      </c>
      <c r="B28" s="192"/>
      <c r="C28" s="192"/>
      <c r="D28" s="192"/>
      <c r="E28" s="192"/>
      <c r="F28" s="223">
        <v>0.28299999999999997</v>
      </c>
      <c r="G28" s="223">
        <v>0.27</v>
      </c>
      <c r="H28" s="223">
        <v>1.3069999999999999</v>
      </c>
      <c r="I28" s="224">
        <f>I18*I48</f>
        <v>1.7552944520759397</v>
      </c>
      <c r="J28" s="225">
        <f>J18*J48</f>
        <v>2.1698418064328147</v>
      </c>
      <c r="K28" s="225">
        <f>K18*K48</f>
        <v>2.5335904937744278</v>
      </c>
      <c r="L28" s="225">
        <f>L18*L48</f>
        <v>2.7869495431518705</v>
      </c>
      <c r="M28" s="225">
        <f>M18*M48</f>
        <v>2.9541665157409827</v>
      </c>
      <c r="N28" s="209"/>
      <c r="P28" s="192"/>
      <c r="S28" s="220"/>
      <c r="T28" s="220"/>
      <c r="U28" s="220"/>
      <c r="V28" s="220"/>
      <c r="W28" s="220"/>
      <c r="X28" s="220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</row>
    <row r="29" spans="1:246" s="76" customFormat="1" ht="12.75" x14ac:dyDescent="0.2">
      <c r="B29" s="76" t="s">
        <v>14</v>
      </c>
      <c r="D29" s="3"/>
      <c r="E29" s="87"/>
      <c r="F29" s="217">
        <f t="shared" ref="F29:M29" si="5">F22-SUM(F25:F26)+SUM(F27:F28)</f>
        <v>118.029</v>
      </c>
      <c r="G29" s="217">
        <f t="shared" si="5"/>
        <v>167.67799999999997</v>
      </c>
      <c r="H29" s="226">
        <f t="shared" si="5"/>
        <v>212.57500000000005</v>
      </c>
      <c r="I29" s="217">
        <f t="shared" si="5"/>
        <v>263.51891802298621</v>
      </c>
      <c r="J29" s="217">
        <f t="shared" si="5"/>
        <v>325.7541003653098</v>
      </c>
      <c r="K29" s="217">
        <f t="shared" si="5"/>
        <v>380.362978327169</v>
      </c>
      <c r="L29" s="217">
        <f t="shared" si="5"/>
        <v>418.39927615988586</v>
      </c>
      <c r="M29" s="217">
        <f t="shared" si="5"/>
        <v>443.50323272947901</v>
      </c>
      <c r="N29" s="197">
        <f>(M29/H29)^(1/(COUNT(H$16:M$16)-1))-1</f>
        <v>0.15844900375097093</v>
      </c>
      <c r="S29" s="227"/>
    </row>
    <row r="30" spans="1:246" s="145" customFormat="1" ht="12.75" x14ac:dyDescent="0.2">
      <c r="A30" s="76"/>
      <c r="B30" s="214" t="s">
        <v>122</v>
      </c>
      <c r="D30" s="193"/>
      <c r="E30" s="228"/>
      <c r="F30" s="215">
        <f t="shared" ref="F30:M30" si="6">F29/F18</f>
        <v>0.58475067502291356</v>
      </c>
      <c r="G30" s="215">
        <f t="shared" si="6"/>
        <v>0.62663452734645064</v>
      </c>
      <c r="H30" s="216">
        <f t="shared" si="6"/>
        <v>0.6497724306364302</v>
      </c>
      <c r="I30" s="215">
        <f t="shared" si="6"/>
        <v>0.59977243063643004</v>
      </c>
      <c r="J30" s="215">
        <f t="shared" si="6"/>
        <v>0.59977243063643004</v>
      </c>
      <c r="K30" s="215">
        <f t="shared" si="6"/>
        <v>0.59977243063643015</v>
      </c>
      <c r="L30" s="215">
        <f t="shared" si="6"/>
        <v>0.59977243063643004</v>
      </c>
      <c r="M30" s="215">
        <f t="shared" si="6"/>
        <v>0.59977243063643004</v>
      </c>
      <c r="N30" s="229"/>
      <c r="S30" s="147"/>
      <c r="U30" s="133"/>
    </row>
    <row r="31" spans="1:246" s="145" customFormat="1" ht="12.75" x14ac:dyDescent="0.2">
      <c r="A31" s="76"/>
      <c r="B31" s="76"/>
      <c r="D31" s="193"/>
      <c r="E31" s="228"/>
      <c r="F31" s="217"/>
      <c r="G31" s="217"/>
      <c r="H31" s="226"/>
      <c r="I31" s="230"/>
      <c r="J31" s="230"/>
      <c r="K31" s="230"/>
      <c r="L31" s="230"/>
      <c r="M31" s="230"/>
      <c r="N31" s="229"/>
      <c r="S31" s="147"/>
      <c r="U31" s="133"/>
    </row>
    <row r="32" spans="1:246" s="145" customFormat="1" ht="12.75" x14ac:dyDescent="0.2">
      <c r="A32" s="76" t="s">
        <v>128</v>
      </c>
      <c r="D32" s="193"/>
      <c r="F32" s="206">
        <v>2.3660000000000001</v>
      </c>
      <c r="G32" s="206">
        <v>3.5009999999999999</v>
      </c>
      <c r="H32" s="231">
        <v>7.4710000000000001</v>
      </c>
      <c r="I32" s="232">
        <f>I$18*I47</f>
        <v>10.033515571124214</v>
      </c>
      <c r="J32" s="232">
        <f>J$18*J47</f>
        <v>12.403127877474798</v>
      </c>
      <c r="K32" s="232">
        <f>K$18*K47</f>
        <v>14.482367696242351</v>
      </c>
      <c r="L32" s="232">
        <f>L$18*L47</f>
        <v>15.930604465866587</v>
      </c>
      <c r="M32" s="232">
        <f>M$18*M47</f>
        <v>16.886440733818581</v>
      </c>
      <c r="N32" s="303" t="s">
        <v>127</v>
      </c>
      <c r="S32" s="147"/>
      <c r="U32" s="234"/>
    </row>
    <row r="33" spans="1:21" s="145" customFormat="1" ht="12.75" x14ac:dyDescent="0.2">
      <c r="A33" s="76" t="s">
        <v>129</v>
      </c>
      <c r="D33" s="193"/>
      <c r="F33" s="235">
        <f>F28*$N$33</f>
        <v>0</v>
      </c>
      <c r="G33" s="235">
        <f>G28*$N$33</f>
        <v>0</v>
      </c>
      <c r="H33" s="236">
        <f>H28*$N$33</f>
        <v>0</v>
      </c>
      <c r="I33" s="232">
        <f>I$18*I48*$N33</f>
        <v>0</v>
      </c>
      <c r="J33" s="232">
        <f>J$18*J48*$N33</f>
        <v>0</v>
      </c>
      <c r="K33" s="232">
        <f>K$18*K48*$N33</f>
        <v>0</v>
      </c>
      <c r="L33" s="232">
        <f>L$18*L48*$N33</f>
        <v>0</v>
      </c>
      <c r="M33" s="232">
        <f>M$18*M48*$N33</f>
        <v>0</v>
      </c>
      <c r="N33" s="233">
        <v>0</v>
      </c>
      <c r="S33" s="147"/>
      <c r="U33" s="234"/>
    </row>
    <row r="34" spans="1:21" s="145" customFormat="1" ht="12.75" x14ac:dyDescent="0.2">
      <c r="B34" s="104" t="s">
        <v>130</v>
      </c>
      <c r="C34" s="104"/>
      <c r="D34" s="104"/>
      <c r="E34" s="104"/>
      <c r="F34" s="237">
        <f t="shared" ref="F34:M34" si="7">F29-SUM(F32:F33)</f>
        <v>115.663</v>
      </c>
      <c r="G34" s="237">
        <f t="shared" si="7"/>
        <v>164.17699999999996</v>
      </c>
      <c r="H34" s="238">
        <f t="shared" si="7"/>
        <v>205.10400000000004</v>
      </c>
      <c r="I34" s="237">
        <f t="shared" si="7"/>
        <v>253.485402451862</v>
      </c>
      <c r="J34" s="237">
        <f t="shared" si="7"/>
        <v>313.35097248783501</v>
      </c>
      <c r="K34" s="237">
        <f t="shared" si="7"/>
        <v>365.88061063092664</v>
      </c>
      <c r="L34" s="237">
        <f t="shared" si="7"/>
        <v>402.46867169401929</v>
      </c>
      <c r="M34" s="237">
        <f t="shared" si="7"/>
        <v>426.61679199566044</v>
      </c>
      <c r="S34" s="147"/>
    </row>
    <row r="35" spans="1:21" s="145" customFormat="1" ht="12.75" x14ac:dyDescent="0.2">
      <c r="B35" s="214" t="s">
        <v>122</v>
      </c>
      <c r="C35" s="104"/>
      <c r="D35" s="104"/>
      <c r="E35" s="104"/>
      <c r="F35" s="215">
        <f t="shared" ref="F35:M35" si="8">F34/F18</f>
        <v>0.57302880923480892</v>
      </c>
      <c r="G35" s="215">
        <f t="shared" si="8"/>
        <v>0.61355083431432988</v>
      </c>
      <c r="H35" s="216">
        <f t="shared" si="8"/>
        <v>0.62693602076092847</v>
      </c>
      <c r="I35" s="215">
        <f t="shared" si="8"/>
        <v>0.57693602076092843</v>
      </c>
      <c r="J35" s="215">
        <f t="shared" si="8"/>
        <v>0.57693602076092843</v>
      </c>
      <c r="K35" s="215">
        <f t="shared" si="8"/>
        <v>0.57693602076092843</v>
      </c>
      <c r="L35" s="215">
        <f t="shared" si="8"/>
        <v>0.57693602076092843</v>
      </c>
      <c r="M35" s="215">
        <f t="shared" si="8"/>
        <v>0.57693602076092843</v>
      </c>
      <c r="S35" s="147"/>
    </row>
    <row r="36" spans="1:21" s="145" customFormat="1" ht="12.75" x14ac:dyDescent="0.2">
      <c r="B36" s="214"/>
      <c r="C36" s="104"/>
      <c r="D36" s="104"/>
      <c r="E36" s="104"/>
      <c r="F36" s="215"/>
      <c r="G36" s="215"/>
      <c r="H36" s="216"/>
      <c r="I36" s="215"/>
      <c r="J36" s="215"/>
      <c r="K36" s="215"/>
      <c r="L36" s="215"/>
      <c r="M36" s="215"/>
      <c r="N36" s="303" t="s">
        <v>127</v>
      </c>
      <c r="S36" s="147"/>
    </row>
    <row r="37" spans="1:21" s="145" customFormat="1" ht="12.75" x14ac:dyDescent="0.2">
      <c r="A37" s="76" t="s">
        <v>131</v>
      </c>
      <c r="D37" s="193"/>
      <c r="F37" s="206">
        <v>5.3470000000000004</v>
      </c>
      <c r="G37" s="206">
        <v>13.401</v>
      </c>
      <c r="H37" s="231">
        <v>8.5939999999999994</v>
      </c>
      <c r="I37" s="232">
        <f>I$18*I49*$N37</f>
        <v>11.541698945019608</v>
      </c>
      <c r="J37" s="232">
        <f>J$18*J49*$N37</f>
        <v>14.267498457906358</v>
      </c>
      <c r="K37" s="232">
        <f>K$18*K49*$N37</f>
        <v>16.659278273525199</v>
      </c>
      <c r="L37" s="232">
        <f>L$18*L49*$N37</f>
        <v>18.325206100877718</v>
      </c>
      <c r="M37" s="232">
        <f>M$18*M49*$N37</f>
        <v>19.424718466930383</v>
      </c>
      <c r="N37" s="233">
        <v>1</v>
      </c>
      <c r="S37" s="147"/>
    </row>
    <row r="38" spans="1:21" s="145" customFormat="1" ht="12.75" x14ac:dyDescent="0.2">
      <c r="B38" s="104"/>
      <c r="C38" s="104"/>
      <c r="D38" s="104"/>
      <c r="E38" s="104"/>
      <c r="F38" s="240"/>
      <c r="G38" s="240"/>
      <c r="H38" s="241"/>
      <c r="I38" s="240"/>
      <c r="J38" s="240"/>
      <c r="K38" s="240"/>
      <c r="L38" s="240"/>
      <c r="M38" s="240"/>
      <c r="N38" s="239"/>
      <c r="O38" s="242"/>
      <c r="S38" s="147"/>
    </row>
    <row r="39" spans="1:21" s="145" customFormat="1" ht="12.75" x14ac:dyDescent="0.2">
      <c r="A39" s="76" t="s">
        <v>81</v>
      </c>
      <c r="B39" s="104"/>
      <c r="C39" s="104"/>
      <c r="D39" s="104"/>
      <c r="E39" s="104"/>
      <c r="F39" s="243">
        <v>7.3</v>
      </c>
      <c r="G39" s="243">
        <v>43.2</v>
      </c>
      <c r="H39" s="244">
        <v>68.3</v>
      </c>
      <c r="I39" s="245">
        <f>I18*I50</f>
        <v>10.033515571124214</v>
      </c>
      <c r="J39" s="245">
        <f>J18*J50</f>
        <v>12.403127877474798</v>
      </c>
      <c r="K39" s="245">
        <f>K18*K50</f>
        <v>14.482367696242351</v>
      </c>
      <c r="L39" s="245">
        <f>L18*L50</f>
        <v>15.930604465866587</v>
      </c>
      <c r="M39" s="245">
        <f>M18*M50</f>
        <v>16.886440733818581</v>
      </c>
      <c r="N39" s="239"/>
      <c r="O39" s="242"/>
      <c r="S39" s="147"/>
    </row>
    <row r="40" spans="1:21" s="145" customFormat="1" ht="12.75" x14ac:dyDescent="0.2">
      <c r="F40" s="246"/>
      <c r="G40" s="246"/>
      <c r="H40" s="247"/>
      <c r="I40" s="248"/>
      <c r="K40" s="242"/>
      <c r="L40" s="249"/>
      <c r="M40" s="249"/>
      <c r="N40" s="192"/>
      <c r="O40" s="248"/>
      <c r="S40" s="147"/>
    </row>
    <row r="41" spans="1:21" s="145" customFormat="1" ht="12.75" x14ac:dyDescent="0.2">
      <c r="A41" s="250" t="s">
        <v>132</v>
      </c>
      <c r="F41" s="251"/>
      <c r="G41" s="251"/>
      <c r="H41" s="252"/>
      <c r="I41" s="242"/>
      <c r="J41" s="242"/>
      <c r="K41" s="253"/>
      <c r="L41"/>
      <c r="M41"/>
      <c r="N41" s="303" t="s">
        <v>147</v>
      </c>
      <c r="O41" s="192"/>
      <c r="P41" s="254"/>
      <c r="S41" s="182"/>
    </row>
    <row r="42" spans="1:21" s="145" customFormat="1" ht="12.75" x14ac:dyDescent="0.2">
      <c r="B42" s="145" t="s">
        <v>72</v>
      </c>
      <c r="F42" s="255" t="s">
        <v>15</v>
      </c>
      <c r="G42" s="256">
        <f>G18/F18-1</f>
        <v>0.3256954593871535</v>
      </c>
      <c r="H42" s="257">
        <f>H18/G18-1</f>
        <v>0.22261337518919233</v>
      </c>
      <c r="I42" s="258">
        <v>0.34299499011166024</v>
      </c>
      <c r="J42" s="258">
        <v>0.236169694416</v>
      </c>
      <c r="K42" s="258">
        <v>0.16763834407799999</v>
      </c>
      <c r="L42" s="258">
        <v>0.1</v>
      </c>
      <c r="M42" s="258">
        <v>0.06</v>
      </c>
      <c r="N42" s="192" t="s">
        <v>148</v>
      </c>
      <c r="P42" s="259"/>
      <c r="S42" s="147"/>
      <c r="T42" s="259"/>
    </row>
    <row r="43" spans="1:21" s="145" customFormat="1" ht="12.75" x14ac:dyDescent="0.2">
      <c r="B43" s="145" t="s">
        <v>73</v>
      </c>
      <c r="F43" s="256">
        <f>F22/F18</f>
        <v>0.92750377765116787</v>
      </c>
      <c r="G43" s="256">
        <f>G22/G18</f>
        <v>0.93453295214604704</v>
      </c>
      <c r="H43" s="257">
        <f>H22/H18</f>
        <v>0.90875217405923225</v>
      </c>
      <c r="I43" s="258">
        <f t="shared" ref="I43:M45" si="9">H43</f>
        <v>0.90875217405923225</v>
      </c>
      <c r="J43" s="258">
        <f t="shared" si="9"/>
        <v>0.90875217405923225</v>
      </c>
      <c r="K43" s="258">
        <f t="shared" si="9"/>
        <v>0.90875217405923225</v>
      </c>
      <c r="L43" s="258">
        <f t="shared" si="9"/>
        <v>0.90875217405923225</v>
      </c>
      <c r="M43" s="258">
        <f t="shared" si="9"/>
        <v>0.90875217405923225</v>
      </c>
      <c r="N43" s="192" t="s">
        <v>149</v>
      </c>
      <c r="P43" s="259"/>
      <c r="S43" s="147"/>
      <c r="T43" s="259"/>
    </row>
    <row r="44" spans="1:21" s="145" customFormat="1" ht="12.75" x14ac:dyDescent="0.2">
      <c r="B44" s="76" t="s">
        <v>74</v>
      </c>
      <c r="F44" s="256">
        <f>F25/F18</f>
        <v>0.23765760856102455</v>
      </c>
      <c r="G44" s="256">
        <f>G25/G18</f>
        <v>0.21976941906310146</v>
      </c>
      <c r="H44" s="257">
        <f>H25/H18</f>
        <v>0.17892240022252584</v>
      </c>
      <c r="I44" s="258">
        <v>0.22892240022252586</v>
      </c>
      <c r="J44" s="258">
        <v>0.22892240022252586</v>
      </c>
      <c r="K44" s="258">
        <v>0.22892240022252586</v>
      </c>
      <c r="L44" s="258">
        <v>0.22892240022252586</v>
      </c>
      <c r="M44" s="258">
        <v>0.22892240022252586</v>
      </c>
      <c r="N44" s="192" t="s">
        <v>150</v>
      </c>
      <c r="P44" s="259"/>
      <c r="S44" s="147"/>
    </row>
    <row r="45" spans="1:21" s="145" customFormat="1" ht="12.75" x14ac:dyDescent="0.2">
      <c r="B45" s="76" t="s">
        <v>75</v>
      </c>
      <c r="F45" s="260">
        <f>F26/F18</f>
        <v>0.11821942579702246</v>
      </c>
      <c r="G45" s="260">
        <f>G26/G18</f>
        <v>0.10222172393818788</v>
      </c>
      <c r="H45" s="261">
        <f>H26/H18</f>
        <v>0.10688882571763059</v>
      </c>
      <c r="I45" s="258">
        <f t="shared" si="9"/>
        <v>0.10688882571763059</v>
      </c>
      <c r="J45" s="258">
        <f t="shared" si="9"/>
        <v>0.10688882571763059</v>
      </c>
      <c r="K45" s="258">
        <f t="shared" si="9"/>
        <v>0.10688882571763059</v>
      </c>
      <c r="L45" s="258">
        <f t="shared" si="9"/>
        <v>0.10688882571763059</v>
      </c>
      <c r="M45" s="258">
        <f t="shared" si="9"/>
        <v>0.10688882571763059</v>
      </c>
      <c r="N45" s="192" t="s">
        <v>150</v>
      </c>
      <c r="P45" s="262"/>
      <c r="S45" s="147"/>
    </row>
    <row r="46" spans="1:21" s="145" customFormat="1" ht="12.75" x14ac:dyDescent="0.2">
      <c r="B46" s="76" t="s">
        <v>76</v>
      </c>
      <c r="F46" s="263">
        <v>6.9822999999999996E-2</v>
      </c>
      <c r="G46" s="263">
        <v>0.13538900000000001</v>
      </c>
      <c r="H46" s="264">
        <v>0.13875100000000001</v>
      </c>
      <c r="I46" s="265">
        <f>tax</f>
        <v>0.115</v>
      </c>
      <c r="J46" s="265">
        <f>tax</f>
        <v>0.115</v>
      </c>
      <c r="K46" s="265">
        <f>tax</f>
        <v>0.115</v>
      </c>
      <c r="L46" s="265">
        <f>tax</f>
        <v>0.115</v>
      </c>
      <c r="M46" s="265">
        <f>tax</f>
        <v>0.115</v>
      </c>
      <c r="N46" s="192" t="s">
        <v>158</v>
      </c>
      <c r="P46" s="259"/>
      <c r="S46" s="147"/>
    </row>
    <row r="47" spans="1:21" s="145" customFormat="1" ht="12.75" x14ac:dyDescent="0.2">
      <c r="B47" s="76" t="s">
        <v>77</v>
      </c>
      <c r="F47" s="256">
        <f>F32/F$18</f>
        <v>1.1721865788104734E-2</v>
      </c>
      <c r="G47" s="256">
        <f>G32/G$18</f>
        <v>1.3083693032120635E-2</v>
      </c>
      <c r="H47" s="257">
        <f>H32/H$18</f>
        <v>2.2836409875501677E-2</v>
      </c>
      <c r="I47" s="258">
        <v>2.2836409875501677E-2</v>
      </c>
      <c r="J47" s="258">
        <v>2.2836409875501677E-2</v>
      </c>
      <c r="K47" s="258">
        <v>2.2836409875501677E-2</v>
      </c>
      <c r="L47" s="258">
        <v>2.2836409875501677E-2</v>
      </c>
      <c r="M47" s="258">
        <v>2.2836409875501677E-2</v>
      </c>
      <c r="N47" s="192" t="s">
        <v>151</v>
      </c>
      <c r="P47" s="259"/>
      <c r="S47" s="147"/>
    </row>
    <row r="48" spans="1:21" s="145" customFormat="1" ht="12.75" x14ac:dyDescent="0.2">
      <c r="B48" s="76" t="s">
        <v>80</v>
      </c>
      <c r="F48" s="256">
        <f>F28/F$18</f>
        <v>1.4020659416879287E-3</v>
      </c>
      <c r="G48" s="256">
        <f>G28/G$18</f>
        <v>1.0090251695722857E-3</v>
      </c>
      <c r="H48" s="257">
        <f>H28/H$18</f>
        <v>3.9950726418525881E-3</v>
      </c>
      <c r="I48" s="258">
        <v>3.9950726418525881E-3</v>
      </c>
      <c r="J48" s="258">
        <v>3.9950726418525881E-3</v>
      </c>
      <c r="K48" s="258">
        <v>3.9950726418525881E-3</v>
      </c>
      <c r="L48" s="258">
        <v>3.9950726418525881E-3</v>
      </c>
      <c r="M48" s="258">
        <v>3.9950726418525881E-3</v>
      </c>
      <c r="N48" s="192" t="s">
        <v>151</v>
      </c>
      <c r="P48" s="259"/>
      <c r="S48" s="147"/>
    </row>
    <row r="49" spans="1:26" s="145" customFormat="1" ht="12.75" x14ac:dyDescent="0.2">
      <c r="B49" s="76" t="s">
        <v>131</v>
      </c>
      <c r="F49" s="256">
        <f>F37/F$18</f>
        <v>2.6490623993658504E-2</v>
      </c>
      <c r="G49" s="256">
        <f>G37/G$18</f>
        <v>5.0081282583104438E-2</v>
      </c>
      <c r="H49" s="257">
        <f>H37/H$18</f>
        <v>2.6269054540230409E-2</v>
      </c>
      <c r="I49" s="258">
        <v>2.6269054540230409E-2</v>
      </c>
      <c r="J49" s="258">
        <v>2.6269054540230409E-2</v>
      </c>
      <c r="K49" s="258">
        <v>2.6269054540230409E-2</v>
      </c>
      <c r="L49" s="258">
        <v>2.6269054540230409E-2</v>
      </c>
      <c r="M49" s="258">
        <v>2.6269054540230409E-2</v>
      </c>
      <c r="N49" s="192" t="s">
        <v>151</v>
      </c>
      <c r="P49" s="259"/>
      <c r="S49" s="147"/>
    </row>
    <row r="50" spans="1:26" s="145" customFormat="1" ht="12.75" x14ac:dyDescent="0.2">
      <c r="B50" s="145" t="str">
        <f>A39</f>
        <v>Cap Ex</v>
      </c>
      <c r="F50" s="256">
        <f>F39/F18</f>
        <v>3.6166365280289332E-2</v>
      </c>
      <c r="G50" s="256">
        <f>G39/G18</f>
        <v>0.16144402713156569</v>
      </c>
      <c r="H50" s="257">
        <f>H39/H18</f>
        <v>0.20877081976934336</v>
      </c>
      <c r="I50" s="258">
        <v>2.2836409875501677E-2</v>
      </c>
      <c r="J50" s="258">
        <v>2.2836409875501677E-2</v>
      </c>
      <c r="K50" s="258">
        <v>2.2836409875501677E-2</v>
      </c>
      <c r="L50" s="258">
        <v>2.2836409875501677E-2</v>
      </c>
      <c r="M50" s="258">
        <v>2.2836409875501677E-2</v>
      </c>
      <c r="N50" s="192" t="s">
        <v>152</v>
      </c>
      <c r="P50" s="259"/>
      <c r="S50" s="147"/>
    </row>
    <row r="51" spans="1:26" s="133" customFormat="1" ht="12.75" x14ac:dyDescent="0.2">
      <c r="A51" s="266"/>
      <c r="B51" s="302" t="s">
        <v>146</v>
      </c>
      <c r="C51" s="267"/>
      <c r="D51" s="267"/>
      <c r="E51" s="267"/>
      <c r="F51" s="263">
        <v>-0.1992667641011667</v>
      </c>
      <c r="G51" s="263">
        <v>-0.22453052301137966</v>
      </c>
      <c r="H51" s="264">
        <v>-0.22619997371260545</v>
      </c>
      <c r="I51" s="258">
        <v>-0.22619997371260545</v>
      </c>
      <c r="J51" s="258">
        <v>-0.22619997371260545</v>
      </c>
      <c r="K51" s="258">
        <v>-0.22619997371260545</v>
      </c>
      <c r="L51" s="258">
        <v>-0.22619997371260545</v>
      </c>
      <c r="M51" s="258">
        <v>-0.22619997371260545</v>
      </c>
      <c r="N51" s="192" t="s">
        <v>159</v>
      </c>
      <c r="P51" s="267"/>
      <c r="S51" s="268"/>
      <c r="T51" s="267"/>
      <c r="U51" s="267"/>
      <c r="Z51"/>
    </row>
  </sheetData>
  <printOptions horizontalCentered="1"/>
  <pageMargins left="0.5" right="0.5" top="0.7" bottom="0.65" header="0.25" footer="0.25"/>
  <pageSetup scale="71" orientation="landscape" r:id="rId1"/>
  <headerFooter alignWithMargins="0"/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M70"/>
  <sheetViews>
    <sheetView showGridLines="0" zoomScale="85" zoomScaleNormal="85" workbookViewId="0">
      <selection activeCell="A2" sqref="A2"/>
    </sheetView>
  </sheetViews>
  <sheetFormatPr defaultRowHeight="12.75" x14ac:dyDescent="0.2"/>
  <cols>
    <col min="1" max="1" width="25.85546875" style="3" customWidth="1"/>
    <col min="2" max="2" width="9.85546875" style="3" bestFit="1" customWidth="1"/>
    <col min="3" max="3" width="17.140625" style="3" bestFit="1" customWidth="1"/>
    <col min="4" max="4" width="15.28515625" style="3" customWidth="1"/>
    <col min="5" max="5" width="14.5703125" style="3" bestFit="1" customWidth="1"/>
    <col min="6" max="6" width="16.28515625" style="3" bestFit="1" customWidth="1"/>
    <col min="7" max="8" width="14.5703125" style="3" bestFit="1" customWidth="1"/>
    <col min="9" max="9" width="16.28515625" style="3" bestFit="1" customWidth="1"/>
    <col min="10" max="10" width="14.5703125" style="3" bestFit="1" customWidth="1"/>
    <col min="11" max="11" width="16.5703125" style="3" bestFit="1" customWidth="1"/>
    <col min="12" max="250" width="9.140625" style="3"/>
    <col min="251" max="251" width="25.85546875" style="3" customWidth="1"/>
    <col min="252" max="252" width="9.85546875" style="3" bestFit="1" customWidth="1"/>
    <col min="253" max="253" width="14.85546875" style="3" customWidth="1"/>
    <col min="254" max="261" width="14.5703125" style="3" bestFit="1" customWidth="1"/>
    <col min="262" max="506" width="9.140625" style="3"/>
    <col min="507" max="507" width="25.85546875" style="3" customWidth="1"/>
    <col min="508" max="508" width="9.85546875" style="3" bestFit="1" customWidth="1"/>
    <col min="509" max="509" width="14.85546875" style="3" customWidth="1"/>
    <col min="510" max="517" width="14.5703125" style="3" bestFit="1" customWidth="1"/>
    <col min="518" max="762" width="9.140625" style="3"/>
    <col min="763" max="763" width="25.85546875" style="3" customWidth="1"/>
    <col min="764" max="764" width="9.85546875" style="3" bestFit="1" customWidth="1"/>
    <col min="765" max="765" width="14.85546875" style="3" customWidth="1"/>
    <col min="766" max="773" width="14.5703125" style="3" bestFit="1" customWidth="1"/>
    <col min="774" max="1018" width="9.140625" style="3"/>
    <col min="1019" max="1019" width="25.85546875" style="3" customWidth="1"/>
    <col min="1020" max="1020" width="9.85546875" style="3" bestFit="1" customWidth="1"/>
    <col min="1021" max="1021" width="14.85546875" style="3" customWidth="1"/>
    <col min="1022" max="1029" width="14.5703125" style="3" bestFit="1" customWidth="1"/>
    <col min="1030" max="1274" width="9.140625" style="3"/>
    <col min="1275" max="1275" width="25.85546875" style="3" customWidth="1"/>
    <col min="1276" max="1276" width="9.85546875" style="3" bestFit="1" customWidth="1"/>
    <col min="1277" max="1277" width="14.85546875" style="3" customWidth="1"/>
    <col min="1278" max="1285" width="14.5703125" style="3" bestFit="1" customWidth="1"/>
    <col min="1286" max="1530" width="9.140625" style="3"/>
    <col min="1531" max="1531" width="25.85546875" style="3" customWidth="1"/>
    <col min="1532" max="1532" width="9.85546875" style="3" bestFit="1" customWidth="1"/>
    <col min="1533" max="1533" width="14.85546875" style="3" customWidth="1"/>
    <col min="1534" max="1541" width="14.5703125" style="3" bestFit="1" customWidth="1"/>
    <col min="1542" max="1786" width="9.140625" style="3"/>
    <col min="1787" max="1787" width="25.85546875" style="3" customWidth="1"/>
    <col min="1788" max="1788" width="9.85546875" style="3" bestFit="1" customWidth="1"/>
    <col min="1789" max="1789" width="14.85546875" style="3" customWidth="1"/>
    <col min="1790" max="1797" width="14.5703125" style="3" bestFit="1" customWidth="1"/>
    <col min="1798" max="2042" width="9.140625" style="3"/>
    <col min="2043" max="2043" width="25.85546875" style="3" customWidth="1"/>
    <col min="2044" max="2044" width="9.85546875" style="3" bestFit="1" customWidth="1"/>
    <col min="2045" max="2045" width="14.85546875" style="3" customWidth="1"/>
    <col min="2046" max="2053" width="14.5703125" style="3" bestFit="1" customWidth="1"/>
    <col min="2054" max="2298" width="9.140625" style="3"/>
    <col min="2299" max="2299" width="25.85546875" style="3" customWidth="1"/>
    <col min="2300" max="2300" width="9.85546875" style="3" bestFit="1" customWidth="1"/>
    <col min="2301" max="2301" width="14.85546875" style="3" customWidth="1"/>
    <col min="2302" max="2309" width="14.5703125" style="3" bestFit="1" customWidth="1"/>
    <col min="2310" max="2554" width="9.140625" style="3"/>
    <col min="2555" max="2555" width="25.85546875" style="3" customWidth="1"/>
    <col min="2556" max="2556" width="9.85546875" style="3" bestFit="1" customWidth="1"/>
    <col min="2557" max="2557" width="14.85546875" style="3" customWidth="1"/>
    <col min="2558" max="2565" width="14.5703125" style="3" bestFit="1" customWidth="1"/>
    <col min="2566" max="2810" width="9.140625" style="3"/>
    <col min="2811" max="2811" width="25.85546875" style="3" customWidth="1"/>
    <col min="2812" max="2812" width="9.85546875" style="3" bestFit="1" customWidth="1"/>
    <col min="2813" max="2813" width="14.85546875" style="3" customWidth="1"/>
    <col min="2814" max="2821" width="14.5703125" style="3" bestFit="1" customWidth="1"/>
    <col min="2822" max="3066" width="9.140625" style="3"/>
    <col min="3067" max="3067" width="25.85546875" style="3" customWidth="1"/>
    <col min="3068" max="3068" width="9.85546875" style="3" bestFit="1" customWidth="1"/>
    <col min="3069" max="3069" width="14.85546875" style="3" customWidth="1"/>
    <col min="3070" max="3077" width="14.5703125" style="3" bestFit="1" customWidth="1"/>
    <col min="3078" max="3322" width="9.140625" style="3"/>
    <col min="3323" max="3323" width="25.85546875" style="3" customWidth="1"/>
    <col min="3324" max="3324" width="9.85546875" style="3" bestFit="1" customWidth="1"/>
    <col min="3325" max="3325" width="14.85546875" style="3" customWidth="1"/>
    <col min="3326" max="3333" width="14.5703125" style="3" bestFit="1" customWidth="1"/>
    <col min="3334" max="3578" width="9.140625" style="3"/>
    <col min="3579" max="3579" width="25.85546875" style="3" customWidth="1"/>
    <col min="3580" max="3580" width="9.85546875" style="3" bestFit="1" customWidth="1"/>
    <col min="3581" max="3581" width="14.85546875" style="3" customWidth="1"/>
    <col min="3582" max="3589" width="14.5703125" style="3" bestFit="1" customWidth="1"/>
    <col min="3590" max="3834" width="9.140625" style="3"/>
    <col min="3835" max="3835" width="25.85546875" style="3" customWidth="1"/>
    <col min="3836" max="3836" width="9.85546875" style="3" bestFit="1" customWidth="1"/>
    <col min="3837" max="3837" width="14.85546875" style="3" customWidth="1"/>
    <col min="3838" max="3845" width="14.5703125" style="3" bestFit="1" customWidth="1"/>
    <col min="3846" max="4090" width="9.140625" style="3"/>
    <col min="4091" max="4091" width="25.85546875" style="3" customWidth="1"/>
    <col min="4092" max="4092" width="9.85546875" style="3" bestFit="1" customWidth="1"/>
    <col min="4093" max="4093" width="14.85546875" style="3" customWidth="1"/>
    <col min="4094" max="4101" width="14.5703125" style="3" bestFit="1" customWidth="1"/>
    <col min="4102" max="4346" width="9.140625" style="3"/>
    <col min="4347" max="4347" width="25.85546875" style="3" customWidth="1"/>
    <col min="4348" max="4348" width="9.85546875" style="3" bestFit="1" customWidth="1"/>
    <col min="4349" max="4349" width="14.85546875" style="3" customWidth="1"/>
    <col min="4350" max="4357" width="14.5703125" style="3" bestFit="1" customWidth="1"/>
    <col min="4358" max="4602" width="9.140625" style="3"/>
    <col min="4603" max="4603" width="25.85546875" style="3" customWidth="1"/>
    <col min="4604" max="4604" width="9.85546875" style="3" bestFit="1" customWidth="1"/>
    <col min="4605" max="4605" width="14.85546875" style="3" customWidth="1"/>
    <col min="4606" max="4613" width="14.5703125" style="3" bestFit="1" customWidth="1"/>
    <col min="4614" max="4858" width="9.140625" style="3"/>
    <col min="4859" max="4859" width="25.85546875" style="3" customWidth="1"/>
    <col min="4860" max="4860" width="9.85546875" style="3" bestFit="1" customWidth="1"/>
    <col min="4861" max="4861" width="14.85546875" style="3" customWidth="1"/>
    <col min="4862" max="4869" width="14.5703125" style="3" bestFit="1" customWidth="1"/>
    <col min="4870" max="5114" width="9.140625" style="3"/>
    <col min="5115" max="5115" width="25.85546875" style="3" customWidth="1"/>
    <col min="5116" max="5116" width="9.85546875" style="3" bestFit="1" customWidth="1"/>
    <col min="5117" max="5117" width="14.85546875" style="3" customWidth="1"/>
    <col min="5118" max="5125" width="14.5703125" style="3" bestFit="1" customWidth="1"/>
    <col min="5126" max="5370" width="9.140625" style="3"/>
    <col min="5371" max="5371" width="25.85546875" style="3" customWidth="1"/>
    <col min="5372" max="5372" width="9.85546875" style="3" bestFit="1" customWidth="1"/>
    <col min="5373" max="5373" width="14.85546875" style="3" customWidth="1"/>
    <col min="5374" max="5381" width="14.5703125" style="3" bestFit="1" customWidth="1"/>
    <col min="5382" max="5626" width="9.140625" style="3"/>
    <col min="5627" max="5627" width="25.85546875" style="3" customWidth="1"/>
    <col min="5628" max="5628" width="9.85546875" style="3" bestFit="1" customWidth="1"/>
    <col min="5629" max="5629" width="14.85546875" style="3" customWidth="1"/>
    <col min="5630" max="5637" width="14.5703125" style="3" bestFit="1" customWidth="1"/>
    <col min="5638" max="5882" width="9.140625" style="3"/>
    <col min="5883" max="5883" width="25.85546875" style="3" customWidth="1"/>
    <col min="5884" max="5884" width="9.85546875" style="3" bestFit="1" customWidth="1"/>
    <col min="5885" max="5885" width="14.85546875" style="3" customWidth="1"/>
    <col min="5886" max="5893" width="14.5703125" style="3" bestFit="1" customWidth="1"/>
    <col min="5894" max="6138" width="9.140625" style="3"/>
    <col min="6139" max="6139" width="25.85546875" style="3" customWidth="1"/>
    <col min="6140" max="6140" width="9.85546875" style="3" bestFit="1" customWidth="1"/>
    <col min="6141" max="6141" width="14.85546875" style="3" customWidth="1"/>
    <col min="6142" max="6149" width="14.5703125" style="3" bestFit="1" customWidth="1"/>
    <col min="6150" max="6394" width="9.140625" style="3"/>
    <col min="6395" max="6395" width="25.85546875" style="3" customWidth="1"/>
    <col min="6396" max="6396" width="9.85546875" style="3" bestFit="1" customWidth="1"/>
    <col min="6397" max="6397" width="14.85546875" style="3" customWidth="1"/>
    <col min="6398" max="6405" width="14.5703125" style="3" bestFit="1" customWidth="1"/>
    <col min="6406" max="6650" width="9.140625" style="3"/>
    <col min="6651" max="6651" width="25.85546875" style="3" customWidth="1"/>
    <col min="6652" max="6652" width="9.85546875" style="3" bestFit="1" customWidth="1"/>
    <col min="6653" max="6653" width="14.85546875" style="3" customWidth="1"/>
    <col min="6654" max="6661" width="14.5703125" style="3" bestFit="1" customWidth="1"/>
    <col min="6662" max="6906" width="9.140625" style="3"/>
    <col min="6907" max="6907" width="25.85546875" style="3" customWidth="1"/>
    <col min="6908" max="6908" width="9.85546875" style="3" bestFit="1" customWidth="1"/>
    <col min="6909" max="6909" width="14.85546875" style="3" customWidth="1"/>
    <col min="6910" max="6917" width="14.5703125" style="3" bestFit="1" customWidth="1"/>
    <col min="6918" max="7162" width="9.140625" style="3"/>
    <col min="7163" max="7163" width="25.85546875" style="3" customWidth="1"/>
    <col min="7164" max="7164" width="9.85546875" style="3" bestFit="1" customWidth="1"/>
    <col min="7165" max="7165" width="14.85546875" style="3" customWidth="1"/>
    <col min="7166" max="7173" width="14.5703125" style="3" bestFit="1" customWidth="1"/>
    <col min="7174" max="7418" width="9.140625" style="3"/>
    <col min="7419" max="7419" width="25.85546875" style="3" customWidth="1"/>
    <col min="7420" max="7420" width="9.85546875" style="3" bestFit="1" customWidth="1"/>
    <col min="7421" max="7421" width="14.85546875" style="3" customWidth="1"/>
    <col min="7422" max="7429" width="14.5703125" style="3" bestFit="1" customWidth="1"/>
    <col min="7430" max="7674" width="9.140625" style="3"/>
    <col min="7675" max="7675" width="25.85546875" style="3" customWidth="1"/>
    <col min="7676" max="7676" width="9.85546875" style="3" bestFit="1" customWidth="1"/>
    <col min="7677" max="7677" width="14.85546875" style="3" customWidth="1"/>
    <col min="7678" max="7685" width="14.5703125" style="3" bestFit="1" customWidth="1"/>
    <col min="7686" max="7930" width="9.140625" style="3"/>
    <col min="7931" max="7931" width="25.85546875" style="3" customWidth="1"/>
    <col min="7932" max="7932" width="9.85546875" style="3" bestFit="1" customWidth="1"/>
    <col min="7933" max="7933" width="14.85546875" style="3" customWidth="1"/>
    <col min="7934" max="7941" width="14.5703125" style="3" bestFit="1" customWidth="1"/>
    <col min="7942" max="8186" width="9.140625" style="3"/>
    <col min="8187" max="8187" width="25.85546875" style="3" customWidth="1"/>
    <col min="8188" max="8188" width="9.85546875" style="3" bestFit="1" customWidth="1"/>
    <col min="8189" max="8189" width="14.85546875" style="3" customWidth="1"/>
    <col min="8190" max="8197" width="14.5703125" style="3" bestFit="1" customWidth="1"/>
    <col min="8198" max="8442" width="9.140625" style="3"/>
    <col min="8443" max="8443" width="25.85546875" style="3" customWidth="1"/>
    <col min="8444" max="8444" width="9.85546875" style="3" bestFit="1" customWidth="1"/>
    <col min="8445" max="8445" width="14.85546875" style="3" customWidth="1"/>
    <col min="8446" max="8453" width="14.5703125" style="3" bestFit="1" customWidth="1"/>
    <col min="8454" max="8698" width="9.140625" style="3"/>
    <col min="8699" max="8699" width="25.85546875" style="3" customWidth="1"/>
    <col min="8700" max="8700" width="9.85546875" style="3" bestFit="1" customWidth="1"/>
    <col min="8701" max="8701" width="14.85546875" style="3" customWidth="1"/>
    <col min="8702" max="8709" width="14.5703125" style="3" bestFit="1" customWidth="1"/>
    <col min="8710" max="8954" width="9.140625" style="3"/>
    <col min="8955" max="8955" width="25.85546875" style="3" customWidth="1"/>
    <col min="8956" max="8956" width="9.85546875" style="3" bestFit="1" customWidth="1"/>
    <col min="8957" max="8957" width="14.85546875" style="3" customWidth="1"/>
    <col min="8958" max="8965" width="14.5703125" style="3" bestFit="1" customWidth="1"/>
    <col min="8966" max="9210" width="9.140625" style="3"/>
    <col min="9211" max="9211" width="25.85546875" style="3" customWidth="1"/>
    <col min="9212" max="9212" width="9.85546875" style="3" bestFit="1" customWidth="1"/>
    <col min="9213" max="9213" width="14.85546875" style="3" customWidth="1"/>
    <col min="9214" max="9221" width="14.5703125" style="3" bestFit="1" customWidth="1"/>
    <col min="9222" max="9466" width="9.140625" style="3"/>
    <col min="9467" max="9467" width="25.85546875" style="3" customWidth="1"/>
    <col min="9468" max="9468" width="9.85546875" style="3" bestFit="1" customWidth="1"/>
    <col min="9469" max="9469" width="14.85546875" style="3" customWidth="1"/>
    <col min="9470" max="9477" width="14.5703125" style="3" bestFit="1" customWidth="1"/>
    <col min="9478" max="9722" width="9.140625" style="3"/>
    <col min="9723" max="9723" width="25.85546875" style="3" customWidth="1"/>
    <col min="9724" max="9724" width="9.85546875" style="3" bestFit="1" customWidth="1"/>
    <col min="9725" max="9725" width="14.85546875" style="3" customWidth="1"/>
    <col min="9726" max="9733" width="14.5703125" style="3" bestFit="1" customWidth="1"/>
    <col min="9734" max="9978" width="9.140625" style="3"/>
    <col min="9979" max="9979" width="25.85546875" style="3" customWidth="1"/>
    <col min="9980" max="9980" width="9.85546875" style="3" bestFit="1" customWidth="1"/>
    <col min="9981" max="9981" width="14.85546875" style="3" customWidth="1"/>
    <col min="9982" max="9989" width="14.5703125" style="3" bestFit="1" customWidth="1"/>
    <col min="9990" max="10234" width="9.140625" style="3"/>
    <col min="10235" max="10235" width="25.85546875" style="3" customWidth="1"/>
    <col min="10236" max="10236" width="9.85546875" style="3" bestFit="1" customWidth="1"/>
    <col min="10237" max="10237" width="14.85546875" style="3" customWidth="1"/>
    <col min="10238" max="10245" width="14.5703125" style="3" bestFit="1" customWidth="1"/>
    <col min="10246" max="10490" width="9.140625" style="3"/>
    <col min="10491" max="10491" width="25.85546875" style="3" customWidth="1"/>
    <col min="10492" max="10492" width="9.85546875" style="3" bestFit="1" customWidth="1"/>
    <col min="10493" max="10493" width="14.85546875" style="3" customWidth="1"/>
    <col min="10494" max="10501" width="14.5703125" style="3" bestFit="1" customWidth="1"/>
    <col min="10502" max="10746" width="9.140625" style="3"/>
    <col min="10747" max="10747" width="25.85546875" style="3" customWidth="1"/>
    <col min="10748" max="10748" width="9.85546875" style="3" bestFit="1" customWidth="1"/>
    <col min="10749" max="10749" width="14.85546875" style="3" customWidth="1"/>
    <col min="10750" max="10757" width="14.5703125" style="3" bestFit="1" customWidth="1"/>
    <col min="10758" max="11002" width="9.140625" style="3"/>
    <col min="11003" max="11003" width="25.85546875" style="3" customWidth="1"/>
    <col min="11004" max="11004" width="9.85546875" style="3" bestFit="1" customWidth="1"/>
    <col min="11005" max="11005" width="14.85546875" style="3" customWidth="1"/>
    <col min="11006" max="11013" width="14.5703125" style="3" bestFit="1" customWidth="1"/>
    <col min="11014" max="11258" width="9.140625" style="3"/>
    <col min="11259" max="11259" width="25.85546875" style="3" customWidth="1"/>
    <col min="11260" max="11260" width="9.85546875" style="3" bestFit="1" customWidth="1"/>
    <col min="11261" max="11261" width="14.85546875" style="3" customWidth="1"/>
    <col min="11262" max="11269" width="14.5703125" style="3" bestFit="1" customWidth="1"/>
    <col min="11270" max="11514" width="9.140625" style="3"/>
    <col min="11515" max="11515" width="25.85546875" style="3" customWidth="1"/>
    <col min="11516" max="11516" width="9.85546875" style="3" bestFit="1" customWidth="1"/>
    <col min="11517" max="11517" width="14.85546875" style="3" customWidth="1"/>
    <col min="11518" max="11525" width="14.5703125" style="3" bestFit="1" customWidth="1"/>
    <col min="11526" max="11770" width="9.140625" style="3"/>
    <col min="11771" max="11771" width="25.85546875" style="3" customWidth="1"/>
    <col min="11772" max="11772" width="9.85546875" style="3" bestFit="1" customWidth="1"/>
    <col min="11773" max="11773" width="14.85546875" style="3" customWidth="1"/>
    <col min="11774" max="11781" width="14.5703125" style="3" bestFit="1" customWidth="1"/>
    <col min="11782" max="12026" width="9.140625" style="3"/>
    <col min="12027" max="12027" width="25.85546875" style="3" customWidth="1"/>
    <col min="12028" max="12028" width="9.85546875" style="3" bestFit="1" customWidth="1"/>
    <col min="12029" max="12029" width="14.85546875" style="3" customWidth="1"/>
    <col min="12030" max="12037" width="14.5703125" style="3" bestFit="1" customWidth="1"/>
    <col min="12038" max="12282" width="9.140625" style="3"/>
    <col min="12283" max="12283" width="25.85546875" style="3" customWidth="1"/>
    <col min="12284" max="12284" width="9.85546875" style="3" bestFit="1" customWidth="1"/>
    <col min="12285" max="12285" width="14.85546875" style="3" customWidth="1"/>
    <col min="12286" max="12293" width="14.5703125" style="3" bestFit="1" customWidth="1"/>
    <col min="12294" max="12538" width="9.140625" style="3"/>
    <col min="12539" max="12539" width="25.85546875" style="3" customWidth="1"/>
    <col min="12540" max="12540" width="9.85546875" style="3" bestFit="1" customWidth="1"/>
    <col min="12541" max="12541" width="14.85546875" style="3" customWidth="1"/>
    <col min="12542" max="12549" width="14.5703125" style="3" bestFit="1" customWidth="1"/>
    <col min="12550" max="12794" width="9.140625" style="3"/>
    <col min="12795" max="12795" width="25.85546875" style="3" customWidth="1"/>
    <col min="12796" max="12796" width="9.85546875" style="3" bestFit="1" customWidth="1"/>
    <col min="12797" max="12797" width="14.85546875" style="3" customWidth="1"/>
    <col min="12798" max="12805" width="14.5703125" style="3" bestFit="1" customWidth="1"/>
    <col min="12806" max="13050" width="9.140625" style="3"/>
    <col min="13051" max="13051" width="25.85546875" style="3" customWidth="1"/>
    <col min="13052" max="13052" width="9.85546875" style="3" bestFit="1" customWidth="1"/>
    <col min="13053" max="13053" width="14.85546875" style="3" customWidth="1"/>
    <col min="13054" max="13061" width="14.5703125" style="3" bestFit="1" customWidth="1"/>
    <col min="13062" max="13306" width="9.140625" style="3"/>
    <col min="13307" max="13307" width="25.85546875" style="3" customWidth="1"/>
    <col min="13308" max="13308" width="9.85546875" style="3" bestFit="1" customWidth="1"/>
    <col min="13309" max="13309" width="14.85546875" style="3" customWidth="1"/>
    <col min="13310" max="13317" width="14.5703125" style="3" bestFit="1" customWidth="1"/>
    <col min="13318" max="13562" width="9.140625" style="3"/>
    <col min="13563" max="13563" width="25.85546875" style="3" customWidth="1"/>
    <col min="13564" max="13564" width="9.85546875" style="3" bestFit="1" customWidth="1"/>
    <col min="13565" max="13565" width="14.85546875" style="3" customWidth="1"/>
    <col min="13566" max="13573" width="14.5703125" style="3" bestFit="1" customWidth="1"/>
    <col min="13574" max="13818" width="9.140625" style="3"/>
    <col min="13819" max="13819" width="25.85546875" style="3" customWidth="1"/>
    <col min="13820" max="13820" width="9.85546875" style="3" bestFit="1" customWidth="1"/>
    <col min="13821" max="13821" width="14.85546875" style="3" customWidth="1"/>
    <col min="13822" max="13829" width="14.5703125" style="3" bestFit="1" customWidth="1"/>
    <col min="13830" max="14074" width="9.140625" style="3"/>
    <col min="14075" max="14075" width="25.85546875" style="3" customWidth="1"/>
    <col min="14076" max="14076" width="9.85546875" style="3" bestFit="1" customWidth="1"/>
    <col min="14077" max="14077" width="14.85546875" style="3" customWidth="1"/>
    <col min="14078" max="14085" width="14.5703125" style="3" bestFit="1" customWidth="1"/>
    <col min="14086" max="14330" width="9.140625" style="3"/>
    <col min="14331" max="14331" width="25.85546875" style="3" customWidth="1"/>
    <col min="14332" max="14332" width="9.85546875" style="3" bestFit="1" customWidth="1"/>
    <col min="14333" max="14333" width="14.85546875" style="3" customWidth="1"/>
    <col min="14334" max="14341" width="14.5703125" style="3" bestFit="1" customWidth="1"/>
    <col min="14342" max="14586" width="9.140625" style="3"/>
    <col min="14587" max="14587" width="25.85546875" style="3" customWidth="1"/>
    <col min="14588" max="14588" width="9.85546875" style="3" bestFit="1" customWidth="1"/>
    <col min="14589" max="14589" width="14.85546875" style="3" customWidth="1"/>
    <col min="14590" max="14597" width="14.5703125" style="3" bestFit="1" customWidth="1"/>
    <col min="14598" max="14842" width="9.140625" style="3"/>
    <col min="14843" max="14843" width="25.85546875" style="3" customWidth="1"/>
    <col min="14844" max="14844" width="9.85546875" style="3" bestFit="1" customWidth="1"/>
    <col min="14845" max="14845" width="14.85546875" style="3" customWidth="1"/>
    <col min="14846" max="14853" width="14.5703125" style="3" bestFit="1" customWidth="1"/>
    <col min="14854" max="15098" width="9.140625" style="3"/>
    <col min="15099" max="15099" width="25.85546875" style="3" customWidth="1"/>
    <col min="15100" max="15100" width="9.85546875" style="3" bestFit="1" customWidth="1"/>
    <col min="15101" max="15101" width="14.85546875" style="3" customWidth="1"/>
    <col min="15102" max="15109" width="14.5703125" style="3" bestFit="1" customWidth="1"/>
    <col min="15110" max="15354" width="9.140625" style="3"/>
    <col min="15355" max="15355" width="25.85546875" style="3" customWidth="1"/>
    <col min="15356" max="15356" width="9.85546875" style="3" bestFit="1" customWidth="1"/>
    <col min="15357" max="15357" width="14.85546875" style="3" customWidth="1"/>
    <col min="15358" max="15365" width="14.5703125" style="3" bestFit="1" customWidth="1"/>
    <col min="15366" max="15610" width="9.140625" style="3"/>
    <col min="15611" max="15611" width="25.85546875" style="3" customWidth="1"/>
    <col min="15612" max="15612" width="9.85546875" style="3" bestFit="1" customWidth="1"/>
    <col min="15613" max="15613" width="14.85546875" style="3" customWidth="1"/>
    <col min="15614" max="15621" width="14.5703125" style="3" bestFit="1" customWidth="1"/>
    <col min="15622" max="15866" width="9.140625" style="3"/>
    <col min="15867" max="15867" width="25.85546875" style="3" customWidth="1"/>
    <col min="15868" max="15868" width="9.85546875" style="3" bestFit="1" customWidth="1"/>
    <col min="15869" max="15869" width="14.85546875" style="3" customWidth="1"/>
    <col min="15870" max="15877" width="14.5703125" style="3" bestFit="1" customWidth="1"/>
    <col min="15878" max="16122" width="9.140625" style="3"/>
    <col min="16123" max="16123" width="25.85546875" style="3" customWidth="1"/>
    <col min="16124" max="16124" width="9.85546875" style="3" bestFit="1" customWidth="1"/>
    <col min="16125" max="16125" width="14.85546875" style="3" customWidth="1"/>
    <col min="16126" max="16133" width="14.5703125" style="3" bestFit="1" customWidth="1"/>
    <col min="16134" max="16384" width="9.140625" style="3"/>
  </cols>
  <sheetData>
    <row r="1" spans="1:247" ht="18.75" thickBot="1" x14ac:dyDescent="0.3">
      <c r="A1" s="144" t="str">
        <f>"Trading Multiples and Operating Statistics for "&amp;Name</f>
        <v>Trading Multiples and Operating Statistics for Changyou.com, Ltd.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247" x14ac:dyDescent="0.2">
      <c r="A2" s="149" t="str">
        <f>Subheader</f>
        <v>Dollars in millions, except per share</v>
      </c>
      <c r="B2" s="150"/>
      <c r="C2" s="150"/>
      <c r="D2" s="150"/>
      <c r="E2" s="150"/>
      <c r="F2" s="150"/>
      <c r="G2" s="150"/>
      <c r="H2" s="150"/>
      <c r="I2" s="150"/>
      <c r="J2" s="151"/>
      <c r="K2" s="150"/>
    </row>
    <row r="4" spans="1:247" s="6" customFormat="1" x14ac:dyDescent="0.2">
      <c r="A4" s="310" t="s">
        <v>161</v>
      </c>
      <c r="B4" s="311"/>
      <c r="C4" s="311"/>
      <c r="D4" s="311"/>
      <c r="E4" s="311"/>
      <c r="F4" s="311"/>
      <c r="G4" s="311"/>
      <c r="H4" s="311"/>
      <c r="I4" s="311"/>
      <c r="J4" s="311"/>
      <c r="K4" s="312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  <c r="DD4" s="313"/>
      <c r="DE4" s="313"/>
      <c r="DF4" s="313"/>
      <c r="DG4" s="313"/>
      <c r="DH4" s="313"/>
      <c r="DI4" s="313"/>
      <c r="DJ4" s="313"/>
      <c r="DK4" s="313"/>
      <c r="DL4" s="313"/>
      <c r="DM4" s="313"/>
      <c r="DN4" s="313"/>
      <c r="DO4" s="313"/>
      <c r="DP4" s="313"/>
      <c r="DQ4" s="313"/>
      <c r="DR4" s="313"/>
      <c r="DS4" s="313"/>
      <c r="DT4" s="313"/>
      <c r="DU4" s="313"/>
      <c r="DV4" s="313"/>
      <c r="DW4" s="313"/>
      <c r="DX4" s="313"/>
      <c r="DY4" s="313"/>
      <c r="DZ4" s="313"/>
      <c r="EA4" s="313"/>
      <c r="EB4" s="313"/>
      <c r="EC4" s="313"/>
      <c r="ED4" s="313"/>
      <c r="EE4" s="313"/>
      <c r="EF4" s="313"/>
      <c r="EG4" s="313"/>
      <c r="EH4" s="313"/>
      <c r="EI4" s="313"/>
      <c r="EJ4" s="313"/>
      <c r="EK4" s="313"/>
      <c r="EL4" s="313"/>
      <c r="EM4" s="313"/>
      <c r="EN4" s="313"/>
      <c r="EO4" s="313"/>
      <c r="EP4" s="313"/>
      <c r="EQ4" s="313"/>
      <c r="ER4" s="313"/>
      <c r="ES4" s="313"/>
      <c r="ET4" s="313"/>
      <c r="EU4" s="313"/>
      <c r="EV4" s="313"/>
      <c r="EW4" s="313"/>
      <c r="EX4" s="313"/>
      <c r="EY4" s="313"/>
      <c r="EZ4" s="313"/>
      <c r="FA4" s="313"/>
      <c r="FB4" s="313"/>
      <c r="FC4" s="313"/>
      <c r="FD4" s="313"/>
      <c r="FE4" s="313"/>
      <c r="FF4" s="313"/>
      <c r="FG4" s="313"/>
      <c r="FH4" s="313"/>
      <c r="FI4" s="313"/>
      <c r="FJ4" s="313"/>
      <c r="FK4" s="313"/>
      <c r="FL4" s="313"/>
      <c r="FM4" s="313"/>
      <c r="FN4" s="313"/>
      <c r="FO4" s="313"/>
      <c r="FP4" s="313"/>
      <c r="FQ4" s="313"/>
      <c r="FR4" s="313"/>
      <c r="FS4" s="313"/>
      <c r="FT4" s="313"/>
      <c r="FU4" s="313"/>
      <c r="FV4" s="313"/>
      <c r="FW4" s="313"/>
      <c r="FX4" s="313"/>
      <c r="FY4" s="313"/>
      <c r="FZ4" s="313"/>
      <c r="GA4" s="313"/>
      <c r="GB4" s="313"/>
      <c r="GC4" s="313"/>
      <c r="GD4" s="313"/>
      <c r="GE4" s="313"/>
      <c r="GF4" s="313"/>
      <c r="GG4" s="313"/>
      <c r="GH4" s="313"/>
      <c r="GI4" s="313"/>
      <c r="GJ4" s="313"/>
      <c r="GK4" s="313"/>
      <c r="GL4" s="313"/>
      <c r="GM4" s="313"/>
      <c r="GN4" s="313"/>
      <c r="GO4" s="313"/>
      <c r="GP4" s="313"/>
      <c r="GQ4" s="313"/>
      <c r="GR4" s="313"/>
      <c r="GS4" s="313"/>
      <c r="GT4" s="313"/>
      <c r="GU4" s="313"/>
      <c r="GV4" s="313"/>
      <c r="GW4" s="313"/>
      <c r="GX4" s="313"/>
      <c r="GY4" s="313"/>
      <c r="GZ4" s="313"/>
      <c r="HA4" s="313"/>
      <c r="HB4" s="313"/>
      <c r="HC4" s="313"/>
      <c r="HD4" s="313"/>
      <c r="HE4" s="313"/>
      <c r="HF4" s="313"/>
      <c r="HG4" s="313"/>
      <c r="HH4" s="313"/>
      <c r="HI4" s="313"/>
      <c r="HJ4" s="313"/>
      <c r="HK4" s="313"/>
      <c r="HL4" s="313"/>
      <c r="HM4" s="313"/>
      <c r="HN4" s="313"/>
      <c r="HO4" s="313"/>
      <c r="HP4" s="313"/>
      <c r="HQ4" s="313"/>
      <c r="HR4" s="313"/>
      <c r="HS4" s="313"/>
      <c r="HT4" s="313"/>
      <c r="HU4" s="313"/>
      <c r="HV4" s="313"/>
      <c r="HW4" s="313"/>
      <c r="HX4" s="313"/>
      <c r="HY4" s="313"/>
      <c r="HZ4" s="313"/>
      <c r="IA4" s="313"/>
      <c r="IB4" s="313"/>
      <c r="IC4" s="313"/>
      <c r="ID4" s="313"/>
      <c r="IE4" s="313"/>
      <c r="IF4" s="313"/>
      <c r="IG4" s="313"/>
      <c r="IH4" s="313"/>
      <c r="II4" s="313"/>
      <c r="IJ4" s="313"/>
      <c r="IK4" s="313"/>
      <c r="IL4" s="313"/>
      <c r="IM4" s="313"/>
    </row>
    <row r="5" spans="1:247" s="318" customFormat="1" ht="4.5" customHeight="1" x14ac:dyDescent="0.2">
      <c r="A5" s="314"/>
      <c r="B5" s="315"/>
      <c r="C5" s="315"/>
      <c r="D5" s="315"/>
      <c r="E5" s="315"/>
      <c r="F5" s="315"/>
      <c r="G5" s="315"/>
      <c r="H5" s="315"/>
      <c r="I5" s="315"/>
      <c r="J5" s="315"/>
      <c r="K5" s="316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  <c r="EA5" s="317"/>
      <c r="EB5" s="317"/>
      <c r="EC5" s="317"/>
      <c r="ED5" s="317"/>
      <c r="EE5" s="317"/>
      <c r="EF5" s="317"/>
      <c r="EG5" s="317"/>
      <c r="EH5" s="317"/>
      <c r="EI5" s="317"/>
      <c r="EJ5" s="317"/>
      <c r="EK5" s="317"/>
      <c r="EL5" s="317"/>
      <c r="EM5" s="317"/>
      <c r="EN5" s="317"/>
      <c r="EO5" s="317"/>
      <c r="EP5" s="317"/>
      <c r="EQ5" s="317"/>
      <c r="ER5" s="317"/>
      <c r="ES5" s="317"/>
      <c r="ET5" s="317"/>
      <c r="EU5" s="317"/>
      <c r="EV5" s="317"/>
      <c r="EW5" s="317"/>
      <c r="EX5" s="317"/>
      <c r="EY5" s="317"/>
      <c r="EZ5" s="317"/>
      <c r="FA5" s="317"/>
      <c r="FB5" s="317"/>
      <c r="FC5" s="317"/>
      <c r="FD5" s="317"/>
      <c r="FE5" s="317"/>
      <c r="FF5" s="317"/>
      <c r="FG5" s="317"/>
      <c r="FH5" s="317"/>
      <c r="FI5" s="317"/>
      <c r="FJ5" s="317"/>
      <c r="FK5" s="317"/>
      <c r="FL5" s="317"/>
      <c r="FM5" s="317"/>
      <c r="FN5" s="317"/>
      <c r="FO5" s="317"/>
      <c r="FP5" s="317"/>
      <c r="FQ5" s="317"/>
      <c r="FR5" s="317"/>
      <c r="FS5" s="317"/>
      <c r="FT5" s="317"/>
      <c r="FU5" s="317"/>
      <c r="FV5" s="317"/>
      <c r="FW5" s="317"/>
      <c r="FX5" s="317"/>
      <c r="FY5" s="317"/>
      <c r="FZ5" s="317"/>
      <c r="GA5" s="317"/>
      <c r="GB5" s="317"/>
      <c r="GC5" s="317"/>
      <c r="GD5" s="317"/>
      <c r="GE5" s="317"/>
      <c r="GF5" s="317"/>
      <c r="GG5" s="317"/>
      <c r="GH5" s="317"/>
      <c r="GI5" s="317"/>
      <c r="GJ5" s="317"/>
      <c r="GK5" s="317"/>
      <c r="GL5" s="317"/>
      <c r="GM5" s="317"/>
      <c r="GN5" s="317"/>
      <c r="GO5" s="317"/>
      <c r="GP5" s="317"/>
      <c r="GQ5" s="317"/>
      <c r="GR5" s="317"/>
      <c r="GS5" s="317"/>
      <c r="GT5" s="317"/>
      <c r="GU5" s="317"/>
      <c r="GV5" s="317"/>
      <c r="GW5" s="317"/>
      <c r="GX5" s="317"/>
      <c r="GY5" s="317"/>
      <c r="GZ5" s="317"/>
      <c r="HA5" s="317"/>
      <c r="HB5" s="317"/>
      <c r="HC5" s="317"/>
      <c r="HD5" s="317"/>
      <c r="HE5" s="317"/>
      <c r="HF5" s="317"/>
      <c r="HG5" s="317"/>
      <c r="HH5" s="317"/>
      <c r="HI5" s="317"/>
      <c r="HJ5" s="317"/>
      <c r="HK5" s="317"/>
      <c r="HL5" s="317"/>
      <c r="HM5" s="317"/>
      <c r="HN5" s="317"/>
      <c r="HO5" s="317"/>
      <c r="HP5" s="317"/>
      <c r="HQ5" s="317"/>
      <c r="HR5" s="317"/>
      <c r="HS5" s="317"/>
      <c r="HT5" s="317"/>
      <c r="HU5" s="317"/>
      <c r="HV5" s="317"/>
      <c r="HW5" s="317"/>
      <c r="HX5" s="317"/>
      <c r="HY5" s="317"/>
      <c r="HZ5" s="317"/>
      <c r="IA5" s="317"/>
      <c r="IB5" s="317"/>
      <c r="IC5" s="317"/>
      <c r="ID5" s="317"/>
      <c r="IE5" s="317"/>
      <c r="IF5" s="317"/>
      <c r="IG5" s="317"/>
      <c r="IH5" s="317"/>
      <c r="II5" s="317"/>
      <c r="IJ5" s="317"/>
      <c r="IK5" s="317"/>
      <c r="IL5" s="317"/>
      <c r="IM5" s="317"/>
    </row>
    <row r="6" spans="1:247" s="6" customFormat="1" x14ac:dyDescent="0.2">
      <c r="A6" s="319"/>
      <c r="B6" s="320"/>
      <c r="C6" s="321"/>
      <c r="D6" s="321"/>
      <c r="E6" s="322" t="s">
        <v>162</v>
      </c>
      <c r="F6" s="323"/>
      <c r="G6" s="323"/>
      <c r="H6" s="323"/>
      <c r="I6" s="321"/>
      <c r="J6" s="321"/>
      <c r="K6" s="324"/>
    </row>
    <row r="7" spans="1:247" s="6" customFormat="1" x14ac:dyDescent="0.2">
      <c r="A7" s="319"/>
      <c r="B7" s="325" t="s">
        <v>9</v>
      </c>
      <c r="C7" s="326"/>
      <c r="D7" s="325" t="s">
        <v>163</v>
      </c>
      <c r="E7" s="327" t="s">
        <v>10</v>
      </c>
      <c r="F7" s="328"/>
      <c r="G7" s="327" t="s">
        <v>14</v>
      </c>
      <c r="H7" s="328"/>
      <c r="I7" s="327" t="s">
        <v>164</v>
      </c>
      <c r="J7" s="328"/>
      <c r="K7" s="329" t="s">
        <v>165</v>
      </c>
    </row>
    <row r="8" spans="1:247" s="6" customFormat="1" ht="15" x14ac:dyDescent="0.2">
      <c r="A8" s="330" t="s">
        <v>85</v>
      </c>
      <c r="B8" s="331">
        <v>40564</v>
      </c>
      <c r="C8" s="332" t="s">
        <v>166</v>
      </c>
      <c r="D8" s="332" t="s">
        <v>167</v>
      </c>
      <c r="E8" s="332" t="s">
        <v>168</v>
      </c>
      <c r="F8" s="332" t="s">
        <v>169</v>
      </c>
      <c r="G8" s="332" t="s">
        <v>168</v>
      </c>
      <c r="H8" s="332" t="s">
        <v>169</v>
      </c>
      <c r="I8" s="332" t="s">
        <v>168</v>
      </c>
      <c r="J8" s="332" t="s">
        <v>169</v>
      </c>
      <c r="K8" s="333" t="s">
        <v>169</v>
      </c>
      <c r="M8" s="334"/>
      <c r="N8" s="334"/>
    </row>
    <row r="9" spans="1:247" s="6" customFormat="1" ht="12.75" customHeight="1" x14ac:dyDescent="0.2">
      <c r="A9" s="335" t="s">
        <v>170</v>
      </c>
      <c r="B9" s="336">
        <v>0.41</v>
      </c>
      <c r="C9" s="336">
        <v>477.43</v>
      </c>
      <c r="D9" s="337">
        <v>283.04000000000002</v>
      </c>
      <c r="E9" s="338">
        <v>1.88</v>
      </c>
      <c r="F9" s="338">
        <v>1.5</v>
      </c>
      <c r="G9" s="338">
        <v>5.44</v>
      </c>
      <c r="H9" s="338">
        <v>3.7</v>
      </c>
      <c r="I9" s="338">
        <v>7.93</v>
      </c>
      <c r="J9" s="338">
        <v>6.5</v>
      </c>
      <c r="K9" s="339">
        <f>J9/('Multiples &amp; Operating Stats'!I28*100)</f>
        <v>0.30727272727272709</v>
      </c>
      <c r="M9" s="340"/>
    </row>
    <row r="10" spans="1:247" s="6" customFormat="1" ht="12.75" customHeight="1" x14ac:dyDescent="0.2">
      <c r="A10" s="341" t="s">
        <v>171</v>
      </c>
      <c r="B10" s="342">
        <v>0.52</v>
      </c>
      <c r="C10" s="343">
        <v>270.61</v>
      </c>
      <c r="D10" s="344">
        <v>74.05</v>
      </c>
      <c r="E10" s="345">
        <v>0.78</v>
      </c>
      <c r="F10" s="345">
        <v>0.7</v>
      </c>
      <c r="G10" s="345">
        <v>3.77</v>
      </c>
      <c r="H10" s="345">
        <v>1.7</v>
      </c>
      <c r="I10" s="345">
        <v>19.57</v>
      </c>
      <c r="J10" s="345">
        <v>17</v>
      </c>
      <c r="K10" s="346">
        <f>J10/('Multiples &amp; Operating Stats'!I29*100)</f>
        <v>1.5299999999999994</v>
      </c>
      <c r="M10" s="340"/>
    </row>
    <row r="11" spans="1:247" s="6" customFormat="1" ht="12.75" customHeight="1" x14ac:dyDescent="0.2">
      <c r="A11" s="335" t="s">
        <v>172</v>
      </c>
      <c r="B11" s="347">
        <v>44.88</v>
      </c>
      <c r="C11" s="348">
        <v>5859.64</v>
      </c>
      <c r="D11" s="349">
        <v>4116.66</v>
      </c>
      <c r="E11" s="338">
        <v>4.25</v>
      </c>
      <c r="F11" s="338">
        <v>3.6</v>
      </c>
      <c r="G11" s="338">
        <v>8.5399999999999991</v>
      </c>
      <c r="H11" s="338">
        <v>7.1</v>
      </c>
      <c r="I11" s="338">
        <v>13.34</v>
      </c>
      <c r="J11" s="338">
        <v>12</v>
      </c>
      <c r="K11" s="339">
        <f>J11/('Multiples &amp; Operating Stats'!I30*100)</f>
        <v>1.217142857142856</v>
      </c>
      <c r="M11" s="340"/>
    </row>
    <row r="12" spans="1:247" s="6" customFormat="1" ht="12.75" customHeight="1" x14ac:dyDescent="0.2">
      <c r="A12" s="341" t="s">
        <v>173</v>
      </c>
      <c r="B12" s="342">
        <v>12.75</v>
      </c>
      <c r="C12" s="343">
        <v>633.42999999999995</v>
      </c>
      <c r="D12" s="344">
        <v>319.58999999999997</v>
      </c>
      <c r="E12" s="345">
        <v>0.75</v>
      </c>
      <c r="F12" s="345">
        <v>0.7</v>
      </c>
      <c r="G12" s="345">
        <v>1.98</v>
      </c>
      <c r="H12" s="345">
        <v>1.8</v>
      </c>
      <c r="I12" s="345">
        <v>4.75</v>
      </c>
      <c r="J12" s="345">
        <v>4.2</v>
      </c>
      <c r="K12" s="346">
        <f>J12/('Multiples &amp; Operating Stats'!I31*100)</f>
        <v>0.40054736842105271</v>
      </c>
      <c r="M12" s="340"/>
    </row>
    <row r="13" spans="1:247" s="6" customFormat="1" ht="12.75" customHeight="1" x14ac:dyDescent="0.2">
      <c r="A13" s="335" t="s">
        <v>174</v>
      </c>
      <c r="B13" s="347">
        <v>4.75</v>
      </c>
      <c r="C13" s="348">
        <v>1347.55</v>
      </c>
      <c r="D13" s="349">
        <v>889.78</v>
      </c>
      <c r="E13" s="338">
        <v>1.19</v>
      </c>
      <c r="F13" s="338">
        <v>1</v>
      </c>
      <c r="G13" s="338">
        <v>3.35</v>
      </c>
      <c r="H13" s="338">
        <v>3</v>
      </c>
      <c r="I13" s="338">
        <v>6.82</v>
      </c>
      <c r="J13" s="338">
        <v>6.2</v>
      </c>
      <c r="K13" s="339">
        <f>J13/('Multiples &amp; Operating Stats'!I32*100)</f>
        <v>0.70499999999999896</v>
      </c>
      <c r="M13" s="340"/>
    </row>
    <row r="14" spans="1:247" s="6" customFormat="1" ht="12.75" customHeight="1" x14ac:dyDescent="0.2">
      <c r="A14" s="341" t="s">
        <v>175</v>
      </c>
      <c r="B14" s="342">
        <v>2.1</v>
      </c>
      <c r="C14" s="343">
        <v>272.95999999999998</v>
      </c>
      <c r="D14" s="344">
        <v>182.51</v>
      </c>
      <c r="E14" s="345">
        <v>13.38</v>
      </c>
      <c r="F14" s="345" t="s">
        <v>15</v>
      </c>
      <c r="G14" s="345" t="s">
        <v>176</v>
      </c>
      <c r="H14" s="345" t="s">
        <v>15</v>
      </c>
      <c r="I14" s="345">
        <v>56.06</v>
      </c>
      <c r="J14" s="345">
        <v>25.5</v>
      </c>
      <c r="K14" s="346">
        <f>J14/('Multiples &amp; Operating Stats'!I33*100)</f>
        <v>0.20966666666666667</v>
      </c>
      <c r="M14" s="340"/>
    </row>
    <row r="15" spans="1:247" s="6" customFormat="1" ht="12.75" customHeight="1" x14ac:dyDescent="0.2">
      <c r="A15" s="335" t="s">
        <v>177</v>
      </c>
      <c r="B15" s="347">
        <v>21.6</v>
      </c>
      <c r="C15" s="348">
        <v>39337.550000000003</v>
      </c>
      <c r="D15" s="349">
        <v>37359.96</v>
      </c>
      <c r="E15" s="338">
        <v>10.130000000000001</v>
      </c>
      <c r="F15" s="338">
        <v>7.3</v>
      </c>
      <c r="G15" s="338">
        <v>20.03</v>
      </c>
      <c r="H15" s="338">
        <v>15.1</v>
      </c>
      <c r="I15" s="338">
        <v>27.17</v>
      </c>
      <c r="J15" s="338">
        <v>21.5</v>
      </c>
      <c r="K15" s="339">
        <f>J15/('Multiples &amp; Operating Stats'!I34*100)</f>
        <v>0.93554054054054103</v>
      </c>
      <c r="M15" s="340"/>
    </row>
    <row r="16" spans="1:247" s="6" customFormat="1" x14ac:dyDescent="0.2">
      <c r="A16" s="335"/>
      <c r="B16" s="350"/>
      <c r="C16" s="349"/>
      <c r="D16" s="349"/>
      <c r="E16" s="338"/>
      <c r="F16" s="338"/>
      <c r="G16" s="338"/>
      <c r="H16" s="338"/>
      <c r="I16" s="338"/>
      <c r="J16" s="338"/>
      <c r="K16" s="339"/>
    </row>
    <row r="17" spans="1:247" s="6" customFormat="1" x14ac:dyDescent="0.2">
      <c r="A17" s="335" t="s">
        <v>178</v>
      </c>
      <c r="B17" s="351">
        <v>27.26</v>
      </c>
      <c r="C17" s="352">
        <v>1426.56</v>
      </c>
      <c r="D17" s="353">
        <v>1065.75</v>
      </c>
      <c r="E17" s="354">
        <v>2.81</v>
      </c>
      <c r="F17" s="354">
        <v>2.2000000000000002</v>
      </c>
      <c r="G17" s="354">
        <v>4.37</v>
      </c>
      <c r="H17" s="354">
        <v>3.8</v>
      </c>
      <c r="I17" s="354">
        <v>7.23</v>
      </c>
      <c r="J17" s="354">
        <v>6.1</v>
      </c>
      <c r="K17" s="355">
        <f>J17/('Multiples &amp; Operating Stats'!I36*100)</f>
        <v>0.34478260869565197</v>
      </c>
    </row>
    <row r="18" spans="1:247" s="6" customFormat="1" x14ac:dyDescent="0.2">
      <c r="A18" s="356"/>
      <c r="B18" s="357"/>
      <c r="C18" s="357"/>
      <c r="D18" s="357"/>
      <c r="E18" s="357"/>
      <c r="F18" s="357"/>
      <c r="G18" s="357"/>
      <c r="H18" s="357"/>
      <c r="I18" s="357"/>
      <c r="J18" s="357"/>
      <c r="K18" s="358"/>
    </row>
    <row r="19" spans="1:247" s="6" customFormat="1" x14ac:dyDescent="0.2">
      <c r="A19" s="359" t="s">
        <v>179</v>
      </c>
      <c r="B19" s="360"/>
      <c r="C19" s="361">
        <f t="shared" ref="C19:K19" si="0">MAX(C9:C15)</f>
        <v>39337.550000000003</v>
      </c>
      <c r="D19" s="361">
        <f t="shared" si="0"/>
        <v>37359.96</v>
      </c>
      <c r="E19" s="362">
        <f t="shared" si="0"/>
        <v>13.38</v>
      </c>
      <c r="F19" s="362">
        <f t="shared" si="0"/>
        <v>7.3</v>
      </c>
      <c r="G19" s="362">
        <f t="shared" si="0"/>
        <v>20.03</v>
      </c>
      <c r="H19" s="362">
        <f t="shared" si="0"/>
        <v>15.1</v>
      </c>
      <c r="I19" s="362">
        <f t="shared" si="0"/>
        <v>56.06</v>
      </c>
      <c r="J19" s="362">
        <f t="shared" si="0"/>
        <v>25.5</v>
      </c>
      <c r="K19" s="363">
        <f t="shared" si="0"/>
        <v>1.5299999999999994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s="6" customFormat="1" x14ac:dyDescent="0.2">
      <c r="A20" s="359" t="s">
        <v>180</v>
      </c>
      <c r="B20" s="360"/>
      <c r="C20" s="364">
        <f t="shared" ref="C20:K20" si="1">AVERAGE(C9:C15)</f>
        <v>6885.5957142857142</v>
      </c>
      <c r="D20" s="364">
        <f t="shared" si="1"/>
        <v>6175.0842857142852</v>
      </c>
      <c r="E20" s="362">
        <f t="shared" si="1"/>
        <v>4.6228571428571428</v>
      </c>
      <c r="F20" s="362">
        <f t="shared" si="1"/>
        <v>2.4666666666666668</v>
      </c>
      <c r="G20" s="362">
        <f t="shared" si="1"/>
        <v>7.1849999999999996</v>
      </c>
      <c r="H20" s="362">
        <f t="shared" si="1"/>
        <v>5.3999999999999995</v>
      </c>
      <c r="I20" s="362">
        <f t="shared" si="1"/>
        <v>19.377142857142854</v>
      </c>
      <c r="J20" s="362">
        <f t="shared" si="1"/>
        <v>13.271428571428572</v>
      </c>
      <c r="K20" s="363">
        <f t="shared" si="1"/>
        <v>0.75788145143483443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s="6" customFormat="1" x14ac:dyDescent="0.2">
      <c r="A21" s="359" t="s">
        <v>181</v>
      </c>
      <c r="B21" s="360"/>
      <c r="C21" s="364">
        <f t="shared" ref="C21:K21" si="2">MEDIAN(C9:C15)</f>
        <v>633.42999999999995</v>
      </c>
      <c r="D21" s="364">
        <f t="shared" si="2"/>
        <v>319.58999999999997</v>
      </c>
      <c r="E21" s="362">
        <f t="shared" si="2"/>
        <v>1.88</v>
      </c>
      <c r="F21" s="362">
        <f t="shared" si="2"/>
        <v>1.25</v>
      </c>
      <c r="G21" s="362">
        <f t="shared" si="2"/>
        <v>4.6050000000000004</v>
      </c>
      <c r="H21" s="362">
        <f t="shared" si="2"/>
        <v>3.35</v>
      </c>
      <c r="I21" s="362">
        <f t="shared" si="2"/>
        <v>13.34</v>
      </c>
      <c r="J21" s="362">
        <f t="shared" si="2"/>
        <v>12</v>
      </c>
      <c r="K21" s="363">
        <f t="shared" si="2"/>
        <v>0.70499999999999896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s="6" customFormat="1" x14ac:dyDescent="0.2">
      <c r="A22" s="365" t="s">
        <v>182</v>
      </c>
      <c r="B22" s="366"/>
      <c r="C22" s="367">
        <f t="shared" ref="C22:K22" si="3">MIN(C9:C15)</f>
        <v>270.61</v>
      </c>
      <c r="D22" s="367">
        <f t="shared" si="3"/>
        <v>74.05</v>
      </c>
      <c r="E22" s="368">
        <f t="shared" si="3"/>
        <v>0.75</v>
      </c>
      <c r="F22" s="368">
        <f t="shared" si="3"/>
        <v>0.7</v>
      </c>
      <c r="G22" s="368">
        <f t="shared" si="3"/>
        <v>1.98</v>
      </c>
      <c r="H22" s="368">
        <f t="shared" si="3"/>
        <v>1.7</v>
      </c>
      <c r="I22" s="368">
        <f t="shared" si="3"/>
        <v>4.75</v>
      </c>
      <c r="J22" s="368">
        <f t="shared" si="3"/>
        <v>4.2</v>
      </c>
      <c r="K22" s="369">
        <f t="shared" si="3"/>
        <v>0.20966666666666667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s="6" customFormat="1" x14ac:dyDescent="0.2"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s="6" customFormat="1" x14ac:dyDescent="0.2">
      <c r="A24" s="310" t="s">
        <v>183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s="318" customFormat="1" ht="4.5" customHeight="1" x14ac:dyDescent="0.2">
      <c r="A25" s="314"/>
      <c r="B25" s="315"/>
      <c r="C25" s="315"/>
      <c r="D25" s="315"/>
      <c r="E25" s="315"/>
      <c r="F25" s="315"/>
      <c r="G25" s="315"/>
      <c r="H25" s="315"/>
      <c r="I25" s="315"/>
      <c r="J25" s="315"/>
      <c r="K25" s="31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</row>
    <row r="26" spans="1:247" s="6" customFormat="1" x14ac:dyDescent="0.2">
      <c r="A26" s="314"/>
      <c r="B26" s="321"/>
      <c r="C26" s="370" t="s">
        <v>17</v>
      </c>
      <c r="D26" s="371"/>
      <c r="E26" s="371"/>
      <c r="F26" s="372"/>
      <c r="G26" s="371" t="s">
        <v>184</v>
      </c>
      <c r="H26" s="371"/>
      <c r="I26" s="372"/>
      <c r="J26" s="315"/>
      <c r="K26" s="32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s="6" customFormat="1" ht="15" customHeight="1" x14ac:dyDescent="0.2">
      <c r="A27" s="330" t="s">
        <v>85</v>
      </c>
      <c r="B27" s="321"/>
      <c r="C27" s="332" t="s">
        <v>185</v>
      </c>
      <c r="D27" s="332" t="s">
        <v>186</v>
      </c>
      <c r="E27" s="332" t="s">
        <v>187</v>
      </c>
      <c r="F27" s="332" t="s">
        <v>188</v>
      </c>
      <c r="G27" s="332" t="s">
        <v>189</v>
      </c>
      <c r="H27" s="332" t="s">
        <v>187</v>
      </c>
      <c r="I27" s="332" t="s">
        <v>190</v>
      </c>
      <c r="J27" s="332" t="s">
        <v>191</v>
      </c>
      <c r="K27" s="333" t="s">
        <v>135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s="6" customFormat="1" ht="12.75" customHeight="1" x14ac:dyDescent="0.2">
      <c r="A28" s="359" t="str">
        <f t="shared" ref="A28:A34" si="4">A9</f>
        <v>Kingsoft Corporation</v>
      </c>
      <c r="B28" s="321"/>
      <c r="C28" s="373">
        <v>0.85699999999999998</v>
      </c>
      <c r="D28" s="373">
        <v>0.34599999999999997</v>
      </c>
      <c r="E28" s="373">
        <v>0.39202485758674266</v>
      </c>
      <c r="F28" s="373">
        <v>0.39700000000000002</v>
      </c>
      <c r="G28" s="373">
        <v>0.26539973787680204</v>
      </c>
      <c r="H28" s="373">
        <v>0.43371212121212133</v>
      </c>
      <c r="I28" s="373">
        <v>0.21153846153846168</v>
      </c>
      <c r="J28" s="373">
        <v>0.155</v>
      </c>
      <c r="K28" s="374">
        <v>1.52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s="6" customFormat="1" ht="12.75" customHeight="1" x14ac:dyDescent="0.2">
      <c r="A29" s="375" t="str">
        <f t="shared" si="4"/>
        <v>NetDragon WebSoft</v>
      </c>
      <c r="B29" s="376"/>
      <c r="C29" s="377">
        <v>0.90300000000000002</v>
      </c>
      <c r="D29" s="377">
        <v>0.20699999999999999</v>
      </c>
      <c r="E29" s="377">
        <v>0.42899118511263468</v>
      </c>
      <c r="F29" s="377">
        <v>0.14599999999999999</v>
      </c>
      <c r="G29" s="377">
        <v>6.2434963579604652E-2</v>
      </c>
      <c r="H29" s="377">
        <v>1.2010050251256281</v>
      </c>
      <c r="I29" s="377">
        <v>0.11111111111111116</v>
      </c>
      <c r="J29" s="377">
        <v>6.0000000000000001E-3</v>
      </c>
      <c r="K29" s="378">
        <v>1.25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s="6" customFormat="1" ht="12.75" customHeight="1" x14ac:dyDescent="0.2">
      <c r="A30" s="359" t="str">
        <f t="shared" si="4"/>
        <v>NetEase.com</v>
      </c>
      <c r="B30" s="321"/>
      <c r="C30" s="373">
        <v>0.66900000000000004</v>
      </c>
      <c r="D30" s="373">
        <v>0.497</v>
      </c>
      <c r="E30" s="373">
        <v>0.50047722342733181</v>
      </c>
      <c r="F30" s="373">
        <v>0.44800000000000001</v>
      </c>
      <c r="G30" s="373">
        <v>0.17350575297831172</v>
      </c>
      <c r="H30" s="373">
        <v>0.18148299877099539</v>
      </c>
      <c r="I30" s="373">
        <v>9.8591549295774739E-2</v>
      </c>
      <c r="J30" s="373">
        <v>0</v>
      </c>
      <c r="K30" s="374">
        <v>1.03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s="6" customFormat="1" ht="12.75" customHeight="1" x14ac:dyDescent="0.2">
      <c r="A31" s="375" t="str">
        <f t="shared" si="4"/>
        <v xml:space="preserve">Perfect World </v>
      </c>
      <c r="B31" s="376"/>
      <c r="C31" s="377">
        <v>0.82699999999999996</v>
      </c>
      <c r="D31" s="377">
        <v>0.38200000000000001</v>
      </c>
      <c r="E31" s="377">
        <v>0.36480950430151576</v>
      </c>
      <c r="F31" s="377">
        <v>0.33400000000000002</v>
      </c>
      <c r="G31" s="377">
        <v>0.13218923933209648</v>
      </c>
      <c r="H31" s="377">
        <v>8.267477203647422E-2</v>
      </c>
      <c r="I31" s="377">
        <v>0.10485651214128033</v>
      </c>
      <c r="J31" s="377">
        <v>0</v>
      </c>
      <c r="K31" s="378">
        <v>1.82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s="6" customFormat="1" ht="12.75" customHeight="1" x14ac:dyDescent="0.2">
      <c r="A32" s="359" t="str">
        <f t="shared" si="4"/>
        <v>Shanda Games</v>
      </c>
      <c r="B32" s="321"/>
      <c r="C32" s="373">
        <v>0.60299999999999998</v>
      </c>
      <c r="D32" s="373">
        <v>0.35699999999999998</v>
      </c>
      <c r="E32" s="373">
        <v>0.33919455473624505</v>
      </c>
      <c r="F32" s="373">
        <v>0.26400000000000001</v>
      </c>
      <c r="G32" s="373">
        <v>0.16677696889477178</v>
      </c>
      <c r="H32" s="373">
        <v>0.10863922877271048</v>
      </c>
      <c r="I32" s="373">
        <v>8.7943262411347645E-2</v>
      </c>
      <c r="J32" s="373">
        <v>9.5000000000000001E-2</v>
      </c>
      <c r="K32" s="374">
        <v>1.63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s="6" customFormat="1" ht="12.75" customHeight="1" x14ac:dyDescent="0.2">
      <c r="A33" s="375" t="str">
        <f t="shared" si="4"/>
        <v>Shenzhen Zhongqingbao</v>
      </c>
      <c r="B33" s="376"/>
      <c r="C33" s="377">
        <v>0.81599999999999995</v>
      </c>
      <c r="D33" s="377">
        <v>9.1999999999999998E-2</v>
      </c>
      <c r="E33" s="377" t="s">
        <v>15</v>
      </c>
      <c r="F33" s="377">
        <v>0.35499999999999998</v>
      </c>
      <c r="G33" s="377" t="s">
        <v>176</v>
      </c>
      <c r="H33" s="377" t="s">
        <v>176</v>
      </c>
      <c r="I33" s="377">
        <v>1.2162162162162162</v>
      </c>
      <c r="J33" s="377">
        <v>0</v>
      </c>
      <c r="K33" s="378" t="s">
        <v>50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s="6" customFormat="1" ht="12.75" customHeight="1" x14ac:dyDescent="0.2">
      <c r="A34" s="359" t="str">
        <f t="shared" si="4"/>
        <v>Tencent</v>
      </c>
      <c r="B34" s="321"/>
      <c r="C34" s="373">
        <v>0.66300000000000003</v>
      </c>
      <c r="D34" s="373">
        <v>0.504</v>
      </c>
      <c r="E34" s="373">
        <v>0.48138034746131625</v>
      </c>
      <c r="F34" s="373">
        <v>0.40200000000000002</v>
      </c>
      <c r="G34" s="373">
        <v>0.35356348930015824</v>
      </c>
      <c r="H34" s="373">
        <v>0.29294217687074853</v>
      </c>
      <c r="I34" s="373">
        <v>0.22981366459627317</v>
      </c>
      <c r="J34" s="373">
        <v>0.24299999999999999</v>
      </c>
      <c r="K34" s="374">
        <v>1.37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s="6" customFormat="1" ht="12.75" customHeight="1" x14ac:dyDescent="0.2">
      <c r="A35" s="359"/>
      <c r="B35" s="321"/>
      <c r="C35" s="93"/>
      <c r="D35" s="93"/>
      <c r="E35" s="93"/>
      <c r="F35" s="93"/>
      <c r="G35" s="379"/>
      <c r="H35" s="379"/>
      <c r="I35" s="379"/>
      <c r="J35" s="379"/>
      <c r="K35" s="38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47" s="6" customFormat="1" ht="12.75" customHeight="1" x14ac:dyDescent="0.2">
      <c r="A36" s="359" t="str">
        <f>A17</f>
        <v>Changyou.com</v>
      </c>
      <c r="B36" s="381"/>
      <c r="C36" s="382">
        <v>0.88600000000000001</v>
      </c>
      <c r="D36" s="382">
        <v>0.64600000000000002</v>
      </c>
      <c r="E36" s="382">
        <v>0.55919191919191924</v>
      </c>
      <c r="F36" s="382">
        <v>0.52700000000000002</v>
      </c>
      <c r="G36" s="382">
        <v>0.30434782608695654</v>
      </c>
      <c r="H36" s="382">
        <v>0.12979591836734694</v>
      </c>
      <c r="I36" s="382">
        <v>0.17692307692307699</v>
      </c>
      <c r="J36" s="382">
        <v>0</v>
      </c>
      <c r="K36" s="383">
        <v>1.59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s="6" customFormat="1" ht="12.75" customHeight="1" x14ac:dyDescent="0.2">
      <c r="A37" s="356"/>
      <c r="B37" s="320"/>
      <c r="C37" s="384"/>
      <c r="D37" s="384"/>
      <c r="E37" s="320"/>
      <c r="F37" s="384"/>
      <c r="G37" s="384"/>
      <c r="H37" s="384"/>
      <c r="I37" s="384"/>
      <c r="J37" s="384"/>
      <c r="K37" s="385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s="6" customFormat="1" ht="12.75" customHeight="1" x14ac:dyDescent="0.2">
      <c r="A38" s="359" t="s">
        <v>179</v>
      </c>
      <c r="B38" s="381"/>
      <c r="C38" s="386">
        <f t="shared" ref="C38:K38" si="5">MAX(C28:C34)</f>
        <v>0.90300000000000002</v>
      </c>
      <c r="D38" s="386">
        <f t="shared" si="5"/>
        <v>0.504</v>
      </c>
      <c r="E38" s="386">
        <f t="shared" si="5"/>
        <v>0.50047722342733181</v>
      </c>
      <c r="F38" s="386">
        <f t="shared" si="5"/>
        <v>0.44800000000000001</v>
      </c>
      <c r="G38" s="386">
        <f t="shared" si="5"/>
        <v>0.35356348930015824</v>
      </c>
      <c r="H38" s="386">
        <f t="shared" si="5"/>
        <v>1.2010050251256281</v>
      </c>
      <c r="I38" s="386">
        <f t="shared" si="5"/>
        <v>1.2162162162162162</v>
      </c>
      <c r="J38" s="386">
        <f t="shared" si="5"/>
        <v>0.24299999999999999</v>
      </c>
      <c r="K38" s="387">
        <f t="shared" si="5"/>
        <v>1.82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s="6" customFormat="1" ht="12.75" customHeight="1" x14ac:dyDescent="0.2">
      <c r="A39" s="359" t="s">
        <v>180</v>
      </c>
      <c r="B39" s="381"/>
      <c r="C39" s="386">
        <f t="shared" ref="C39:K39" si="6">AVERAGE(C28:C34)</f>
        <v>0.76257142857142857</v>
      </c>
      <c r="D39" s="386">
        <f t="shared" si="6"/>
        <v>0.34071428571428569</v>
      </c>
      <c r="E39" s="386">
        <f t="shared" si="6"/>
        <v>0.41781294543763109</v>
      </c>
      <c r="F39" s="386">
        <f t="shared" si="6"/>
        <v>0.33514285714285713</v>
      </c>
      <c r="G39" s="386">
        <f t="shared" si="6"/>
        <v>0.19231169199362416</v>
      </c>
      <c r="H39" s="386">
        <f t="shared" si="6"/>
        <v>0.38340938713144634</v>
      </c>
      <c r="I39" s="386">
        <f t="shared" si="6"/>
        <v>0.29429582533006643</v>
      </c>
      <c r="J39" s="386">
        <f t="shared" si="6"/>
        <v>7.1285714285714286E-2</v>
      </c>
      <c r="K39" s="387">
        <f t="shared" si="6"/>
        <v>1.4366666666666668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s="6" customFormat="1" ht="12.75" customHeight="1" x14ac:dyDescent="0.2">
      <c r="A40" s="359" t="s">
        <v>181</v>
      </c>
      <c r="B40" s="381"/>
      <c r="C40" s="386">
        <f t="shared" ref="C40:K40" si="7">MEDIAN(C28:C34)</f>
        <v>0.81599999999999995</v>
      </c>
      <c r="D40" s="386">
        <f t="shared" si="7"/>
        <v>0.35699999999999998</v>
      </c>
      <c r="E40" s="386">
        <f t="shared" si="7"/>
        <v>0.41050802134968867</v>
      </c>
      <c r="F40" s="386">
        <f t="shared" si="7"/>
        <v>0.35499999999999998</v>
      </c>
      <c r="G40" s="386">
        <f t="shared" si="7"/>
        <v>0.17014136093654175</v>
      </c>
      <c r="H40" s="386">
        <f t="shared" si="7"/>
        <v>0.23721258782087196</v>
      </c>
      <c r="I40" s="386">
        <f t="shared" si="7"/>
        <v>0.11111111111111116</v>
      </c>
      <c r="J40" s="386">
        <f t="shared" si="7"/>
        <v>6.0000000000000001E-3</v>
      </c>
      <c r="K40" s="387">
        <f t="shared" si="7"/>
        <v>1.4450000000000001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s="6" customFormat="1" ht="12.75" customHeight="1" x14ac:dyDescent="0.2">
      <c r="A41" s="365" t="s">
        <v>182</v>
      </c>
      <c r="B41" s="388"/>
      <c r="C41" s="389">
        <f t="shared" ref="C41:K41" si="8">MIN(C28:C34)</f>
        <v>0.60299999999999998</v>
      </c>
      <c r="D41" s="389">
        <f t="shared" si="8"/>
        <v>9.1999999999999998E-2</v>
      </c>
      <c r="E41" s="389">
        <f t="shared" si="8"/>
        <v>0.33919455473624505</v>
      </c>
      <c r="F41" s="389">
        <f t="shared" si="8"/>
        <v>0.14599999999999999</v>
      </c>
      <c r="G41" s="389">
        <f t="shared" si="8"/>
        <v>6.2434963579604652E-2</v>
      </c>
      <c r="H41" s="389">
        <f t="shared" si="8"/>
        <v>8.267477203647422E-2</v>
      </c>
      <c r="I41" s="389">
        <f t="shared" si="8"/>
        <v>8.7943262411347645E-2</v>
      </c>
      <c r="J41" s="389">
        <f t="shared" si="8"/>
        <v>0</v>
      </c>
      <c r="K41" s="390">
        <f t="shared" si="8"/>
        <v>1.03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s="6" customFormat="1" x14ac:dyDescent="0.2">
      <c r="E42" s="32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s="6" customFormat="1" x14ac:dyDescent="0.2">
      <c r="A43" s="391" t="s">
        <v>192</v>
      </c>
      <c r="E43" s="32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s="6" customFormat="1" x14ac:dyDescent="0.2">
      <c r="A44" s="391" t="s">
        <v>193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s="6" customFormat="1" x14ac:dyDescent="0.2">
      <c r="A45" s="39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s="6" customFormat="1" x14ac:dyDescent="0.2">
      <c r="A46" s="310" t="s">
        <v>194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247" s="6" customFormat="1" ht="4.5" customHeight="1" x14ac:dyDescent="0.2">
      <c r="A47" s="314"/>
      <c r="B47" s="315"/>
      <c r="C47" s="315"/>
      <c r="D47" s="315"/>
      <c r="E47" s="392"/>
      <c r="F47" s="393"/>
      <c r="G47" s="393"/>
      <c r="H47" s="393"/>
      <c r="I47" s="394"/>
      <c r="J47" s="394"/>
      <c r="K47" s="32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</row>
    <row r="48" spans="1:247" s="6" customFormat="1" x14ac:dyDescent="0.2">
      <c r="A48" s="314"/>
      <c r="B48" s="315"/>
      <c r="C48" s="315"/>
      <c r="D48" s="315"/>
      <c r="E48" s="370" t="s">
        <v>10</v>
      </c>
      <c r="F48" s="395"/>
      <c r="G48" s="370" t="s">
        <v>14</v>
      </c>
      <c r="H48" s="395"/>
      <c r="I48" s="370" t="s">
        <v>164</v>
      </c>
      <c r="J48" s="395"/>
      <c r="K48" s="32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s="6" customFormat="1" ht="15" x14ac:dyDescent="0.2">
      <c r="A49" s="314"/>
      <c r="B49" s="315"/>
      <c r="C49" s="315"/>
      <c r="D49" s="315"/>
      <c r="E49" s="332" t="s">
        <v>168</v>
      </c>
      <c r="F49" s="332" t="s">
        <v>169</v>
      </c>
      <c r="G49" s="332" t="s">
        <v>168</v>
      </c>
      <c r="H49" s="332" t="s">
        <v>169</v>
      </c>
      <c r="I49" s="332" t="s">
        <v>168</v>
      </c>
      <c r="J49" s="332" t="s">
        <v>169</v>
      </c>
      <c r="K49" s="32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s="6" customFormat="1" x14ac:dyDescent="0.2">
      <c r="A50" s="396" t="s">
        <v>195</v>
      </c>
      <c r="B50" s="394"/>
      <c r="C50" s="394"/>
      <c r="D50" s="394"/>
      <c r="E50" s="397">
        <f t="shared" ref="E50:J50" si="9">E21</f>
        <v>1.88</v>
      </c>
      <c r="F50" s="397">
        <f t="shared" si="9"/>
        <v>1.25</v>
      </c>
      <c r="G50" s="397">
        <f t="shared" si="9"/>
        <v>4.6050000000000004</v>
      </c>
      <c r="H50" s="397">
        <f t="shared" si="9"/>
        <v>3.35</v>
      </c>
      <c r="I50" s="397">
        <f t="shared" si="9"/>
        <v>13.34</v>
      </c>
      <c r="J50" s="397">
        <f t="shared" si="9"/>
        <v>12</v>
      </c>
      <c r="K50" s="32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s="6" customFormat="1" x14ac:dyDescent="0.2">
      <c r="A51" s="396"/>
      <c r="B51" s="394"/>
      <c r="C51" s="394"/>
      <c r="D51" s="394"/>
      <c r="E51" s="397"/>
      <c r="F51" s="397"/>
      <c r="G51" s="397"/>
      <c r="H51" s="397"/>
      <c r="I51" s="397"/>
      <c r="J51" s="397"/>
      <c r="K51" s="324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s="6" customFormat="1" x14ac:dyDescent="0.2">
      <c r="A52" s="396" t="str">
        <f>A36&amp;" Financial Metric"</f>
        <v>Changyou.com Financial Metric</v>
      </c>
      <c r="B52" s="394"/>
      <c r="C52" s="394"/>
      <c r="D52" s="394"/>
      <c r="E52" s="407">
        <v>381.92647898630139</v>
      </c>
      <c r="F52" s="407">
        <v>452.66305249150685</v>
      </c>
      <c r="G52" s="407">
        <v>239.58453118961643</v>
      </c>
      <c r="H52" s="407">
        <v>281.82061841728165</v>
      </c>
      <c r="I52" s="407">
        <v>210.8767123287671</v>
      </c>
      <c r="J52" s="407">
        <v>263.84931506849313</v>
      </c>
      <c r="K52" s="32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s="6" customFormat="1" x14ac:dyDescent="0.2">
      <c r="A53" s="396"/>
      <c r="B53" s="394"/>
      <c r="C53" s="394"/>
      <c r="D53" s="394"/>
      <c r="E53" s="398"/>
      <c r="F53" s="398"/>
      <c r="G53" s="398"/>
      <c r="H53" s="398"/>
      <c r="I53" s="398"/>
      <c r="J53" s="398"/>
      <c r="K53" s="32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s="6" customFormat="1" x14ac:dyDescent="0.2">
      <c r="A54" s="399" t="s">
        <v>196</v>
      </c>
      <c r="B54" s="394"/>
      <c r="C54" s="394"/>
      <c r="D54" s="394"/>
      <c r="E54" s="400">
        <f t="shared" ref="E54:J54" si="10">E50*E52</f>
        <v>718.02178049424663</v>
      </c>
      <c r="F54" s="400">
        <f t="shared" si="10"/>
        <v>565.82881561438353</v>
      </c>
      <c r="G54" s="400">
        <f t="shared" si="10"/>
        <v>1103.2867661281837</v>
      </c>
      <c r="H54" s="400">
        <f t="shared" si="10"/>
        <v>944.09907169789358</v>
      </c>
      <c r="I54" s="400">
        <f t="shared" si="10"/>
        <v>2813.0953424657532</v>
      </c>
      <c r="J54" s="400">
        <f t="shared" si="10"/>
        <v>3166.1917808219177</v>
      </c>
      <c r="K54" s="32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s="6" customFormat="1" x14ac:dyDescent="0.2">
      <c r="A55" s="396" t="s">
        <v>197</v>
      </c>
      <c r="B55" s="394"/>
      <c r="C55" s="394"/>
      <c r="D55" s="394"/>
      <c r="E55" s="400">
        <f>debt</f>
        <v>0</v>
      </c>
      <c r="F55" s="400">
        <f>debt</f>
        <v>0</v>
      </c>
      <c r="G55" s="400">
        <f>debt</f>
        <v>0</v>
      </c>
      <c r="H55" s="400">
        <f>debt</f>
        <v>0</v>
      </c>
      <c r="I55" s="400" t="s">
        <v>15</v>
      </c>
      <c r="J55" s="400" t="s">
        <v>15</v>
      </c>
      <c r="K55" s="32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s="6" customFormat="1" x14ac:dyDescent="0.2">
      <c r="A56" s="399" t="s">
        <v>198</v>
      </c>
      <c r="B56" s="394"/>
      <c r="C56" s="394"/>
      <c r="D56" s="394"/>
      <c r="E56" s="400">
        <f>prefstock</f>
        <v>0</v>
      </c>
      <c r="F56" s="400">
        <f>prefstock</f>
        <v>0</v>
      </c>
      <c r="G56" s="400">
        <f>prefstock</f>
        <v>0</v>
      </c>
      <c r="H56" s="400">
        <f>prefstock</f>
        <v>0</v>
      </c>
      <c r="I56" s="400" t="s">
        <v>15</v>
      </c>
      <c r="J56" s="400" t="s">
        <v>15</v>
      </c>
      <c r="K56" s="32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s="6" customFormat="1" x14ac:dyDescent="0.2">
      <c r="A57" s="399" t="s">
        <v>199</v>
      </c>
      <c r="B57" s="394"/>
      <c r="C57" s="394"/>
      <c r="D57" s="394"/>
      <c r="E57" s="400">
        <f>mininterest</f>
        <v>53.576999999999998</v>
      </c>
      <c r="F57" s="400">
        <f>mininterest</f>
        <v>53.576999999999998</v>
      </c>
      <c r="G57" s="400">
        <f>mininterest</f>
        <v>53.576999999999998</v>
      </c>
      <c r="H57" s="400">
        <f>mininterest</f>
        <v>53.576999999999998</v>
      </c>
      <c r="I57" s="400" t="s">
        <v>15</v>
      </c>
      <c r="J57" s="400" t="s">
        <v>15</v>
      </c>
      <c r="K57" s="32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s="6" customFormat="1" x14ac:dyDescent="0.2">
      <c r="A58" s="396" t="s">
        <v>200</v>
      </c>
      <c r="B58" s="394"/>
      <c r="C58" s="394"/>
      <c r="D58" s="394"/>
      <c r="E58" s="400">
        <f>cash</f>
        <v>414.38400000000001</v>
      </c>
      <c r="F58" s="400">
        <f>cash</f>
        <v>414.38400000000001</v>
      </c>
      <c r="G58" s="400">
        <f>cash</f>
        <v>414.38400000000001</v>
      </c>
      <c r="H58" s="400">
        <f>cash</f>
        <v>414.38400000000001</v>
      </c>
      <c r="I58" s="400" t="s">
        <v>15</v>
      </c>
      <c r="J58" s="400" t="s">
        <v>15</v>
      </c>
      <c r="K58" s="6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s="6" customFormat="1" x14ac:dyDescent="0.2">
      <c r="A59" s="396" t="s">
        <v>201</v>
      </c>
      <c r="B59" s="394"/>
      <c r="C59" s="394"/>
      <c r="D59" s="394"/>
      <c r="E59" s="400">
        <f>E54-E55-E56-E57+E58</f>
        <v>1078.8287804942465</v>
      </c>
      <c r="F59" s="400">
        <f>F54-F55-F56-F57+F58</f>
        <v>926.63581561438355</v>
      </c>
      <c r="G59" s="400">
        <f>G54-G55-G56-G57+G58</f>
        <v>1464.0937661281837</v>
      </c>
      <c r="H59" s="400">
        <f>H54-H55-H56-H57+H58</f>
        <v>1304.9060716978936</v>
      </c>
      <c r="I59" s="400">
        <f>I54</f>
        <v>2813.0953424657532</v>
      </c>
      <c r="J59" s="400">
        <f>J54</f>
        <v>3166.1917808219177</v>
      </c>
      <c r="K59" s="6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s="6" customFormat="1" x14ac:dyDescent="0.2">
      <c r="A60" s="396"/>
      <c r="B60" s="394"/>
      <c r="C60" s="394"/>
      <c r="D60" s="394"/>
      <c r="E60" s="398"/>
      <c r="F60" s="398"/>
      <c r="G60" s="398"/>
      <c r="H60" s="398"/>
      <c r="I60" s="398"/>
      <c r="J60" s="398"/>
      <c r="K60" s="60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s="6" customFormat="1" x14ac:dyDescent="0.2">
      <c r="A61" s="396" t="s">
        <v>202</v>
      </c>
      <c r="B61" s="394"/>
      <c r="C61" s="394"/>
      <c r="D61" s="394"/>
      <c r="E61" s="398">
        <f>sharesout</f>
        <v>53.2</v>
      </c>
      <c r="F61" s="398">
        <f>sharesout</f>
        <v>53.2</v>
      </c>
      <c r="G61" s="398">
        <f>sharesout</f>
        <v>53.2</v>
      </c>
      <c r="H61" s="398">
        <f t="shared" ref="H61:J61" si="11">sharesout</f>
        <v>53.2</v>
      </c>
      <c r="I61" s="398">
        <f t="shared" si="11"/>
        <v>53.2</v>
      </c>
      <c r="J61" s="398">
        <f t="shared" si="11"/>
        <v>53.2</v>
      </c>
      <c r="K61" s="60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s="6" customFormat="1" x14ac:dyDescent="0.2">
      <c r="A62" s="319"/>
      <c r="B62" s="321"/>
      <c r="C62" s="321"/>
      <c r="D62" s="321"/>
      <c r="E62" s="398"/>
      <c r="F62" s="398"/>
      <c r="G62" s="398"/>
      <c r="H62" s="398"/>
      <c r="I62" s="398"/>
      <c r="J62" s="398"/>
      <c r="K62" s="60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s="6" customFormat="1" x14ac:dyDescent="0.2">
      <c r="A63" s="401" t="s">
        <v>203</v>
      </c>
      <c r="B63" s="320"/>
      <c r="C63" s="320"/>
      <c r="D63" s="320"/>
      <c r="E63" s="402">
        <f t="shared" ref="E63:J63" si="12">E59/E61</f>
        <v>20.278736475455762</v>
      </c>
      <c r="F63" s="402">
        <f t="shared" si="12"/>
        <v>17.417966458916982</v>
      </c>
      <c r="G63" s="402">
        <f>G59/G61</f>
        <v>27.520559513687662</v>
      </c>
      <c r="H63" s="402">
        <f t="shared" si="12"/>
        <v>24.528309618381456</v>
      </c>
      <c r="I63" s="402">
        <f t="shared" si="12"/>
        <v>52.877732001235962</v>
      </c>
      <c r="J63" s="402">
        <f t="shared" si="12"/>
        <v>59.514883098156346</v>
      </c>
      <c r="K63" s="60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247" s="6" customFormat="1" x14ac:dyDescent="0.2">
      <c r="A64" s="403"/>
      <c r="B64" s="404"/>
      <c r="C64" s="404"/>
      <c r="D64" s="404"/>
      <c r="E64" s="405"/>
      <c r="F64" s="405"/>
      <c r="G64" s="405"/>
      <c r="H64" s="405"/>
      <c r="I64" s="405"/>
      <c r="J64" s="405"/>
      <c r="K64" s="40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1:247" s="6" customFormat="1" x14ac:dyDescent="0.2"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pans="11:247" s="6" customFormat="1" x14ac:dyDescent="0.2"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1:247" s="6" customFormat="1" x14ac:dyDescent="0.2"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1:247" s="6" customFormat="1" x14ac:dyDescent="0.2"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1:247" s="6" customFormat="1" x14ac:dyDescent="0.2"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1:247" s="6" customFormat="1" x14ac:dyDescent="0.2"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</sheetData>
  <pageMargins left="1" right="1" top="1" bottom="1" header="0.5" footer="0.5"/>
  <pageSetup scale="57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zoomScale="95" zoomScaleNormal="95" workbookViewId="0">
      <selection activeCell="G6" sqref="G6"/>
    </sheetView>
  </sheetViews>
  <sheetFormatPr defaultColWidth="30.28515625" defaultRowHeight="12.75" x14ac:dyDescent="0.2"/>
  <cols>
    <col min="1" max="1" width="1.85546875" style="269" customWidth="1"/>
    <col min="2" max="2" width="25.85546875" style="269" customWidth="1"/>
    <col min="3" max="3" width="12.7109375" style="269" customWidth="1"/>
    <col min="4" max="4" width="15.85546875" style="269" bestFit="1" customWidth="1"/>
    <col min="5" max="5" width="22.28515625" style="269" customWidth="1"/>
    <col min="6" max="6" width="12.5703125" style="269" customWidth="1"/>
    <col min="7" max="7" width="11.5703125" style="269" bestFit="1" customWidth="1"/>
    <col min="8" max="8" width="24" style="269" customWidth="1"/>
    <col min="9" max="9" width="12.5703125" style="269" customWidth="1"/>
    <col min="10" max="10" width="7.5703125" style="269" customWidth="1"/>
    <col min="11" max="11" width="9.85546875" style="269" customWidth="1"/>
    <col min="12" max="12" width="6.140625" style="269" customWidth="1"/>
    <col min="13" max="13" width="8.85546875" style="269" customWidth="1"/>
    <col min="14" max="14" width="8.28515625" style="269" customWidth="1"/>
    <col min="15" max="15" width="8" style="269" customWidth="1"/>
    <col min="16" max="16" width="27.7109375" style="269" customWidth="1"/>
    <col min="17" max="17" width="13" style="269" customWidth="1"/>
    <col min="18" max="18" width="11.7109375" style="269" customWidth="1"/>
    <col min="19" max="19" width="10.28515625" style="269" customWidth="1"/>
    <col min="20" max="20" width="11" style="269" customWidth="1"/>
    <col min="21" max="21" width="21.140625" style="269" customWidth="1"/>
    <col min="22" max="22" width="21.5703125" style="269" customWidth="1"/>
    <col min="23" max="23" width="16.28515625" style="269" customWidth="1"/>
    <col min="24" max="24" width="12.5703125" style="269" customWidth="1"/>
    <col min="25" max="16384" width="30.28515625" style="269"/>
  </cols>
  <sheetData>
    <row r="1" spans="1:11" ht="18.75" thickBot="1" x14ac:dyDescent="0.3">
      <c r="B1" s="26" t="str">
        <f>"Weighted Average Cost of Capital for "&amp;Name</f>
        <v>Weighted Average Cost of Capital for Changyou.com, Ltd.</v>
      </c>
    </row>
    <row r="2" spans="1:11" ht="6" customHeight="1" x14ac:dyDescent="0.2">
      <c r="B2" s="30"/>
      <c r="C2" s="30"/>
      <c r="D2" s="30"/>
      <c r="E2" s="30"/>
      <c r="F2" s="30"/>
      <c r="G2" s="30"/>
      <c r="H2" s="270"/>
      <c r="I2" s="271"/>
      <c r="J2" s="271"/>
      <c r="K2" s="271"/>
    </row>
    <row r="3" spans="1:11" x14ac:dyDescent="0.2">
      <c r="B3" s="272"/>
      <c r="C3" s="273"/>
      <c r="D3" s="273"/>
      <c r="E3" s="273"/>
      <c r="F3" s="273"/>
      <c r="G3" s="273"/>
      <c r="H3" s="271"/>
      <c r="I3" s="271"/>
      <c r="J3" s="271"/>
      <c r="K3" s="271"/>
    </row>
    <row r="4" spans="1:11" x14ac:dyDescent="0.2">
      <c r="A4" s="274"/>
      <c r="B4" s="275" t="s">
        <v>133</v>
      </c>
      <c r="C4" s="276"/>
      <c r="D4" s="277"/>
      <c r="E4" s="278" t="s">
        <v>8</v>
      </c>
      <c r="F4" s="276"/>
      <c r="G4" s="279"/>
      <c r="H4" s="271"/>
      <c r="I4" s="271"/>
      <c r="J4" s="271"/>
      <c r="K4" s="271"/>
    </row>
    <row r="5" spans="1:11" x14ac:dyDescent="0.2">
      <c r="B5" s="280" t="s">
        <v>134</v>
      </c>
      <c r="C5" s="281">
        <v>2.1700000000000001E-2</v>
      </c>
      <c r="D5" s="282"/>
      <c r="E5" s="283" t="s">
        <v>133</v>
      </c>
      <c r="F5" s="283"/>
      <c r="G5" s="284">
        <f>Tearsheet!E6</f>
        <v>1450.2320000000002</v>
      </c>
      <c r="H5" s="285"/>
      <c r="I5" s="285"/>
      <c r="J5" s="271"/>
      <c r="K5" s="271"/>
    </row>
    <row r="6" spans="1:11" x14ac:dyDescent="0.2">
      <c r="B6" s="280" t="s">
        <v>135</v>
      </c>
      <c r="C6" s="286">
        <v>1.59</v>
      </c>
      <c r="D6" s="282"/>
      <c r="E6" s="283" t="s">
        <v>96</v>
      </c>
      <c r="F6" s="283"/>
      <c r="G6" s="287">
        <f>debt</f>
        <v>0</v>
      </c>
      <c r="H6" s="285"/>
      <c r="I6" s="285"/>
      <c r="J6" s="271"/>
      <c r="K6" s="271"/>
    </row>
    <row r="7" spans="1:11" x14ac:dyDescent="0.2">
      <c r="B7" s="280" t="s">
        <v>136</v>
      </c>
      <c r="C7" s="288">
        <v>0.05</v>
      </c>
      <c r="D7" s="289"/>
      <c r="E7" s="283" t="s">
        <v>137</v>
      </c>
      <c r="F7" s="283"/>
      <c r="G7" s="284">
        <f>SUM(G5:G6)</f>
        <v>1450.2320000000002</v>
      </c>
      <c r="H7" s="285"/>
      <c r="I7" s="285"/>
      <c r="J7" s="271"/>
      <c r="K7" s="271"/>
    </row>
    <row r="8" spans="1:11" x14ac:dyDescent="0.2">
      <c r="B8" s="280" t="s">
        <v>138</v>
      </c>
      <c r="C8" s="290">
        <f>C5+C6*C7</f>
        <v>0.10120000000000001</v>
      </c>
      <c r="D8" s="282"/>
      <c r="E8" s="283" t="s">
        <v>139</v>
      </c>
      <c r="F8" s="283"/>
      <c r="G8" s="291">
        <f>G6/G7</f>
        <v>0</v>
      </c>
      <c r="H8" s="285"/>
      <c r="I8" s="285"/>
      <c r="J8" s="271"/>
      <c r="K8" s="271"/>
    </row>
    <row r="9" spans="1:11" x14ac:dyDescent="0.2">
      <c r="B9" s="280"/>
      <c r="C9" s="283"/>
      <c r="D9" s="283"/>
      <c r="E9" s="283"/>
      <c r="F9" s="283"/>
      <c r="G9" s="292"/>
      <c r="H9" s="285"/>
      <c r="I9" s="285"/>
      <c r="J9" s="271"/>
      <c r="K9" s="271"/>
    </row>
    <row r="10" spans="1:11" x14ac:dyDescent="0.2">
      <c r="B10" s="293" t="s">
        <v>96</v>
      </c>
      <c r="C10" s="283"/>
      <c r="D10" s="283"/>
      <c r="E10" s="294" t="s">
        <v>140</v>
      </c>
      <c r="F10" s="283"/>
      <c r="G10" s="292"/>
      <c r="H10" s="285"/>
      <c r="I10" s="285"/>
      <c r="J10" s="271"/>
      <c r="K10" s="271"/>
    </row>
    <row r="11" spans="1:11" x14ac:dyDescent="0.2">
      <c r="B11" s="280" t="s">
        <v>141</v>
      </c>
      <c r="C11" s="295">
        <v>7.109E-2</v>
      </c>
      <c r="D11" s="283"/>
      <c r="E11" s="283" t="s">
        <v>142</v>
      </c>
      <c r="F11" s="283"/>
      <c r="G11" s="291">
        <f>(1-G8)*C8</f>
        <v>0.10120000000000001</v>
      </c>
      <c r="H11" s="285"/>
      <c r="I11" s="285"/>
      <c r="J11" s="271"/>
      <c r="K11" s="271"/>
    </row>
    <row r="12" spans="1:11" x14ac:dyDescent="0.2">
      <c r="B12" s="280" t="s">
        <v>98</v>
      </c>
      <c r="C12" s="296">
        <f>tax</f>
        <v>0.115</v>
      </c>
      <c r="D12" s="283"/>
      <c r="E12" s="283" t="s">
        <v>143</v>
      </c>
      <c r="F12" s="283"/>
      <c r="G12" s="297">
        <f>G8*C13</f>
        <v>0</v>
      </c>
      <c r="H12" s="285"/>
      <c r="I12" s="285"/>
      <c r="J12" s="271"/>
      <c r="K12" s="271"/>
    </row>
    <row r="13" spans="1:11" x14ac:dyDescent="0.2">
      <c r="B13" s="298" t="s">
        <v>144</v>
      </c>
      <c r="C13" s="296">
        <f>C11*(1-C12)</f>
        <v>6.2914650000000003E-2</v>
      </c>
      <c r="D13" s="299"/>
      <c r="E13" s="300" t="s">
        <v>145</v>
      </c>
      <c r="F13" s="300"/>
      <c r="G13" s="301">
        <f>ROUND(SUM(G11:G12),2)</f>
        <v>0.1</v>
      </c>
      <c r="H13" s="285"/>
      <c r="I13" s="285"/>
      <c r="J13" s="271"/>
      <c r="K13" s="271"/>
    </row>
    <row r="14" spans="1:11" x14ac:dyDescent="0.2">
      <c r="B14" s="285"/>
      <c r="C14" s="285"/>
      <c r="D14" s="285"/>
      <c r="E14" s="285"/>
      <c r="F14" s="285"/>
      <c r="G14" s="285"/>
      <c r="H14" s="285"/>
      <c r="I14" s="285"/>
      <c r="J14" s="271"/>
      <c r="K14" s="271"/>
    </row>
  </sheetData>
  <pageMargins left="0.7" right="0.7" top="0.75" bottom="0.75" header="0.3" footer="0.3"/>
  <pageSetup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21</vt:i4>
      </vt:variant>
    </vt:vector>
  </HeadingPairs>
  <TitlesOfParts>
    <vt:vector size="27" baseType="lpstr">
      <vt:lpstr>Notes</vt:lpstr>
      <vt:lpstr>Tearsheet</vt:lpstr>
      <vt:lpstr>DCF</vt:lpstr>
      <vt:lpstr>Assumptions</vt:lpstr>
      <vt:lpstr>Multiples &amp; Operating Stats</vt:lpstr>
      <vt:lpstr>WACC</vt:lpstr>
      <vt:lpstr>cash</vt:lpstr>
      <vt:lpstr>debt</vt:lpstr>
      <vt:lpstr>FYE</vt:lpstr>
      <vt:lpstr>high</vt:lpstr>
      <vt:lpstr>low</vt:lpstr>
      <vt:lpstr>mininterest</vt:lpstr>
      <vt:lpstr>multiple</vt:lpstr>
      <vt:lpstr>Name</vt:lpstr>
      <vt:lpstr>prefstock</vt:lpstr>
      <vt:lpstr>Assumptions!Print_Area</vt:lpstr>
      <vt:lpstr>DCF!Print_Area</vt:lpstr>
      <vt:lpstr>WACC!Print_Area</vt:lpstr>
      <vt:lpstr>rate</vt:lpstr>
      <vt:lpstr>shareprice</vt:lpstr>
      <vt:lpstr>sharesout</vt:lpstr>
      <vt:lpstr>Subheader</vt:lpstr>
      <vt:lpstr>target</vt:lpstr>
      <vt:lpstr>tax</vt:lpstr>
      <vt:lpstr>termgrowth</vt:lpstr>
      <vt:lpstr>valdate</vt:lpstr>
      <vt:lpstr>yield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User; Kevin Finn</dc:creator>
  <cp:lastModifiedBy>Windows User</cp:lastModifiedBy>
  <cp:lastPrinted>2011-10-23T18:20:16Z</cp:lastPrinted>
  <dcterms:created xsi:type="dcterms:W3CDTF">2011-10-23T17:58:57Z</dcterms:created>
  <dcterms:modified xsi:type="dcterms:W3CDTF">2011-11-10T21:01:50Z</dcterms:modified>
</cp:coreProperties>
</file>